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V1335" i="1"/>
  <c r="U1335"/>
  <c r="V1334"/>
  <c r="U1334"/>
  <c r="V1333"/>
  <c r="U1333"/>
  <c r="V1332"/>
  <c r="U1332"/>
  <c r="V1331"/>
  <c r="U1331"/>
  <c r="V1330"/>
  <c r="U1330"/>
  <c r="V1329"/>
  <c r="U1329"/>
  <c r="V1328"/>
  <c r="U1328"/>
  <c r="V1327"/>
  <c r="U1327"/>
  <c r="V1326"/>
  <c r="U1326"/>
  <c r="V1325"/>
  <c r="U1325"/>
  <c r="V1324"/>
  <c r="U1324"/>
  <c r="V1323"/>
  <c r="U1323"/>
  <c r="V1322"/>
  <c r="U1322"/>
  <c r="V1321"/>
  <c r="U1321"/>
  <c r="V1320"/>
  <c r="U1320"/>
  <c r="V1319"/>
  <c r="U1319"/>
  <c r="V1318"/>
  <c r="U1318"/>
  <c r="V1317"/>
  <c r="U1317"/>
  <c r="V1316"/>
  <c r="U1316"/>
  <c r="V1315"/>
  <c r="U1315"/>
  <c r="V1314"/>
  <c r="U1314"/>
  <c r="V1313"/>
  <c r="U1313"/>
  <c r="V1312"/>
  <c r="U1312"/>
  <c r="V1311"/>
  <c r="U1311"/>
  <c r="V1310"/>
  <c r="U1310"/>
  <c r="V1309"/>
  <c r="U1309"/>
  <c r="V1308"/>
  <c r="U1308"/>
  <c r="V1307"/>
  <c r="U1307"/>
  <c r="V1306"/>
  <c r="U1306"/>
  <c r="V1305"/>
  <c r="U1305"/>
  <c r="V1304"/>
  <c r="U1304"/>
  <c r="U1303"/>
  <c r="V1302"/>
  <c r="U1302"/>
  <c r="V1301"/>
  <c r="U1301"/>
  <c r="V1300"/>
  <c r="U1300"/>
  <c r="V1299"/>
  <c r="U1299"/>
  <c r="V1298"/>
  <c r="U1298"/>
  <c r="V1297"/>
  <c r="U1297"/>
  <c r="V1296"/>
  <c r="U1296"/>
  <c r="V1295"/>
  <c r="U1295"/>
  <c r="V1294"/>
  <c r="U1294"/>
  <c r="V1293"/>
  <c r="U1293"/>
  <c r="V1292"/>
  <c r="U1292"/>
  <c r="V1291"/>
  <c r="U1291"/>
  <c r="V1290"/>
  <c r="U1290"/>
  <c r="V1289"/>
  <c r="U1289"/>
  <c r="V1288"/>
  <c r="U1288"/>
  <c r="V1287"/>
  <c r="U1287"/>
  <c r="V1286"/>
  <c r="U1286"/>
  <c r="V1285"/>
  <c r="U1285"/>
  <c r="V1284"/>
  <c r="U1284"/>
  <c r="V1283"/>
  <c r="U1283"/>
  <c r="V1282"/>
  <c r="U1282"/>
  <c r="V1281"/>
  <c r="U1281"/>
  <c r="V1280"/>
  <c r="U1280"/>
  <c r="V1279"/>
  <c r="U1279"/>
  <c r="V1278"/>
  <c r="U1278"/>
  <c r="V1277"/>
  <c r="U1277"/>
  <c r="V1276"/>
  <c r="U1276"/>
  <c r="V1275"/>
  <c r="U1275"/>
  <c r="V1274"/>
  <c r="U1274"/>
  <c r="V1273"/>
  <c r="U1273"/>
  <c r="V1272"/>
  <c r="U1272"/>
  <c r="V1271"/>
  <c r="U1271"/>
  <c r="V1270"/>
  <c r="U1270"/>
  <c r="V1269"/>
  <c r="U1269"/>
  <c r="V1268"/>
  <c r="U1268"/>
  <c r="V1267"/>
  <c r="U1267"/>
  <c r="V1266"/>
  <c r="U1266"/>
  <c r="V1265"/>
  <c r="U1265"/>
  <c r="V1264"/>
  <c r="U1264"/>
  <c r="V1263"/>
  <c r="U1263"/>
  <c r="V1262"/>
  <c r="U1262"/>
  <c r="V1261"/>
  <c r="U1261"/>
  <c r="V1260"/>
  <c r="U1260"/>
  <c r="V1259"/>
  <c r="U1259"/>
  <c r="V1258"/>
  <c r="U1258"/>
  <c r="V1257"/>
  <c r="U1257"/>
  <c r="V1256"/>
  <c r="U1256"/>
  <c r="V1255"/>
  <c r="U1255"/>
  <c r="U1254"/>
  <c r="V1253"/>
  <c r="U1253"/>
  <c r="V1252"/>
  <c r="U1252"/>
  <c r="V1251"/>
  <c r="U1251"/>
  <c r="V1250"/>
  <c r="U1250"/>
  <c r="V1249"/>
  <c r="U1249"/>
  <c r="V1248"/>
  <c r="U1248"/>
  <c r="V1247"/>
  <c r="U1247"/>
  <c r="V1246"/>
  <c r="U1246"/>
  <c r="V1245"/>
  <c r="U1245"/>
  <c r="V1244"/>
  <c r="U1244"/>
  <c r="V1243"/>
  <c r="U1243"/>
  <c r="V1242"/>
  <c r="U1242"/>
  <c r="V1241"/>
  <c r="U1241"/>
  <c r="V1240"/>
  <c r="U1240"/>
  <c r="V1239"/>
  <c r="U1239"/>
  <c r="V1238"/>
  <c r="U1238"/>
  <c r="V1237"/>
  <c r="U1237"/>
  <c r="V1236"/>
  <c r="U1236"/>
  <c r="V1235"/>
  <c r="U1235"/>
  <c r="V1234"/>
  <c r="U1234"/>
  <c r="U1233"/>
  <c r="V1232"/>
  <c r="U1232"/>
  <c r="V1231"/>
  <c r="U1231"/>
  <c r="V1230"/>
  <c r="U1230"/>
  <c r="V1229"/>
  <c r="U1229"/>
  <c r="V1228"/>
  <c r="U1228"/>
  <c r="V1227"/>
  <c r="U1227"/>
  <c r="V1226"/>
  <c r="U1226"/>
  <c r="V1225"/>
  <c r="U1225"/>
  <c r="V1224"/>
  <c r="U1224"/>
  <c r="V1223"/>
  <c r="U1223"/>
  <c r="V1222"/>
  <c r="U1222"/>
  <c r="V1221"/>
  <c r="U1221"/>
  <c r="V1220"/>
  <c r="U1220"/>
  <c r="V1219"/>
  <c r="U1219"/>
  <c r="V1218"/>
  <c r="U1218"/>
  <c r="V1217"/>
  <c r="U1217"/>
  <c r="V1216"/>
  <c r="U1216"/>
  <c r="V1215"/>
  <c r="U1215"/>
  <c r="V1214"/>
  <c r="U1214"/>
  <c r="V1213"/>
  <c r="U1213"/>
  <c r="V1212"/>
  <c r="U1212"/>
  <c r="V1211"/>
  <c r="U1211"/>
  <c r="V1210"/>
  <c r="U1210"/>
  <c r="V1209"/>
  <c r="U1209"/>
  <c r="V1208"/>
  <c r="U1208"/>
  <c r="V1207"/>
  <c r="U1207"/>
  <c r="V1206"/>
  <c r="U1206"/>
  <c r="V1205"/>
  <c r="U1205"/>
  <c r="V1204"/>
  <c r="U1204"/>
  <c r="V1203"/>
  <c r="U1203"/>
  <c r="V1202"/>
  <c r="U1202"/>
  <c r="V1201"/>
  <c r="U1201"/>
  <c r="V1200"/>
  <c r="U1200"/>
  <c r="V1199"/>
  <c r="U1199"/>
  <c r="V1198"/>
  <c r="U1198"/>
  <c r="V1197"/>
  <c r="U1197"/>
  <c r="V1196"/>
  <c r="U1196"/>
  <c r="V1195"/>
  <c r="U1195"/>
  <c r="V1194"/>
  <c r="U1194"/>
  <c r="V1193"/>
  <c r="U1193"/>
  <c r="V1192"/>
  <c r="U1192"/>
  <c r="V1191"/>
  <c r="U1191"/>
  <c r="V1190"/>
  <c r="U1190"/>
  <c r="V1189"/>
  <c r="U1189"/>
  <c r="V1188"/>
  <c r="U1188"/>
  <c r="V1187"/>
  <c r="U1187"/>
  <c r="V1186"/>
  <c r="U1186"/>
  <c r="V1185"/>
  <c r="U1185"/>
  <c r="V1184"/>
  <c r="U1184"/>
  <c r="V1183"/>
  <c r="U1183"/>
  <c r="V1182"/>
  <c r="U1182"/>
  <c r="V1181"/>
  <c r="U1181"/>
  <c r="V1180"/>
  <c r="U1180"/>
  <c r="V1179"/>
  <c r="U1179"/>
  <c r="V1178"/>
  <c r="U1178"/>
  <c r="V1177"/>
  <c r="U1177"/>
  <c r="V1176"/>
  <c r="U1176"/>
  <c r="V1175"/>
  <c r="U1175"/>
  <c r="V1174"/>
  <c r="U1174"/>
  <c r="V1173"/>
  <c r="U1173"/>
  <c r="V1172"/>
  <c r="U1172"/>
  <c r="V1171"/>
  <c r="U1171"/>
  <c r="V1170"/>
  <c r="U1170"/>
  <c r="V1169"/>
  <c r="U1169"/>
  <c r="V1168"/>
  <c r="U1168"/>
  <c r="V1167"/>
  <c r="U1167"/>
  <c r="V1166"/>
  <c r="U1166"/>
  <c r="U1165"/>
  <c r="V1164"/>
  <c r="U1164"/>
  <c r="V1163"/>
  <c r="U1163"/>
  <c r="V1162"/>
  <c r="U1162"/>
  <c r="V1161"/>
  <c r="U1161"/>
  <c r="V1160"/>
  <c r="U1160"/>
  <c r="V1159"/>
  <c r="U1159"/>
  <c r="V1158"/>
  <c r="U1158"/>
  <c r="V1157"/>
  <c r="U1157"/>
  <c r="V1156"/>
  <c r="U1156"/>
  <c r="V1155"/>
  <c r="U1155"/>
  <c r="V1154"/>
  <c r="U1154"/>
  <c r="V1153"/>
  <c r="U1153"/>
  <c r="V1152"/>
  <c r="U1152"/>
  <c r="V1151"/>
  <c r="U1151"/>
  <c r="V1150"/>
  <c r="U1150"/>
  <c r="V1149"/>
  <c r="U1149"/>
  <c r="V1148"/>
  <c r="U1148"/>
  <c r="V1147"/>
  <c r="U1147"/>
  <c r="V1146"/>
  <c r="U1146"/>
  <c r="V1145"/>
  <c r="U1145"/>
  <c r="V1144"/>
  <c r="U1144"/>
  <c r="V1143"/>
  <c r="U1143"/>
  <c r="V1142"/>
  <c r="U1142"/>
  <c r="U1141"/>
  <c r="V1140"/>
  <c r="U1140"/>
  <c r="V1139"/>
  <c r="U1139"/>
  <c r="V1138"/>
  <c r="U1138"/>
  <c r="V1137"/>
  <c r="U1137"/>
  <c r="V1136"/>
  <c r="U1136"/>
  <c r="V1135"/>
  <c r="U1135"/>
  <c r="V1134"/>
  <c r="U1134"/>
  <c r="V1133"/>
  <c r="U1133"/>
  <c r="V1132"/>
  <c r="U1132"/>
  <c r="V1131"/>
  <c r="U1131"/>
  <c r="V1130"/>
  <c r="U1130"/>
  <c r="V1129"/>
  <c r="U1129"/>
  <c r="V1128"/>
  <c r="U1128"/>
  <c r="V1127"/>
  <c r="U1127"/>
  <c r="V1126"/>
  <c r="U1126"/>
  <c r="V1125"/>
  <c r="U1125"/>
  <c r="V1124"/>
  <c r="U1124"/>
  <c r="V1123"/>
  <c r="U1123"/>
  <c r="V1122"/>
  <c r="U1122"/>
  <c r="V1121"/>
  <c r="U1121"/>
  <c r="V1120"/>
  <c r="U1120"/>
  <c r="V1119"/>
  <c r="U1119"/>
  <c r="V1118"/>
  <c r="U1118"/>
  <c r="V1117"/>
  <c r="U1117"/>
  <c r="V1116"/>
  <c r="U1116"/>
  <c r="U1115"/>
  <c r="U1114"/>
  <c r="V1113"/>
  <c r="U1113"/>
  <c r="V1112"/>
  <c r="U1112"/>
  <c r="V1111"/>
  <c r="U1111"/>
  <c r="V1110"/>
  <c r="U1110"/>
  <c r="V1109"/>
  <c r="U1109"/>
  <c r="V1108"/>
  <c r="U1108"/>
  <c r="V1107"/>
  <c r="U1107"/>
  <c r="V1106"/>
  <c r="U1106"/>
  <c r="V1105"/>
  <c r="U1105"/>
  <c r="V1104"/>
  <c r="U1104"/>
  <c r="V1103"/>
  <c r="U1103"/>
  <c r="V1102"/>
  <c r="U1102"/>
  <c r="V1101"/>
  <c r="U1101"/>
  <c r="V1100"/>
  <c r="U1100"/>
  <c r="V1099"/>
  <c r="U1099"/>
  <c r="V1098"/>
  <c r="U1098"/>
  <c r="V1097"/>
  <c r="U1097"/>
  <c r="V1096"/>
  <c r="U1096"/>
  <c r="V1095"/>
  <c r="U1095"/>
  <c r="V1094"/>
  <c r="U1094"/>
  <c r="V1093"/>
  <c r="U1093"/>
  <c r="V1092"/>
  <c r="U1092"/>
  <c r="V1091"/>
  <c r="U1091"/>
  <c r="V1090"/>
  <c r="U1090"/>
  <c r="V1089"/>
  <c r="U1089"/>
  <c r="V1088"/>
  <c r="U1088"/>
  <c r="V1087"/>
  <c r="U1087"/>
  <c r="V1086"/>
  <c r="U1086"/>
  <c r="V1085"/>
  <c r="U1085"/>
  <c r="V1084"/>
  <c r="U1084"/>
  <c r="V1083"/>
  <c r="U1083"/>
  <c r="V1082"/>
  <c r="U1082"/>
  <c r="V1081"/>
  <c r="U1081"/>
  <c r="V1080"/>
  <c r="U1080"/>
  <c r="V1079"/>
  <c r="U1079"/>
  <c r="V1078"/>
  <c r="U1078"/>
  <c r="V1077"/>
  <c r="U1077"/>
  <c r="V1076"/>
  <c r="U1076"/>
  <c r="V1075"/>
  <c r="U1075"/>
  <c r="V1074"/>
  <c r="U1074"/>
  <c r="V1073"/>
  <c r="U1073"/>
  <c r="V1072"/>
  <c r="U1072"/>
  <c r="V1071"/>
  <c r="U1071"/>
  <c r="V1070"/>
  <c r="U1070"/>
  <c r="V1069"/>
  <c r="U1069"/>
  <c r="V1068"/>
  <c r="U1068"/>
  <c r="V1067"/>
  <c r="U1067"/>
  <c r="V1066"/>
  <c r="U1066"/>
  <c r="V1065"/>
  <c r="U1065"/>
  <c r="V1064"/>
  <c r="U1064"/>
  <c r="V1063"/>
  <c r="U1063"/>
  <c r="V1062"/>
  <c r="U1062"/>
  <c r="V1061"/>
  <c r="U1061"/>
  <c r="V1060"/>
  <c r="U1060"/>
  <c r="V1059"/>
  <c r="U1059"/>
  <c r="V1058"/>
  <c r="U1058"/>
  <c r="V1057"/>
  <c r="U1057"/>
  <c r="V1056"/>
  <c r="U1056"/>
  <c r="V1055"/>
  <c r="U1055"/>
  <c r="V1054"/>
  <c r="U1054"/>
  <c r="V1053"/>
  <c r="U1053"/>
  <c r="V1052"/>
  <c r="U1052"/>
  <c r="V1051"/>
  <c r="U1051"/>
  <c r="V1050"/>
  <c r="U1050"/>
  <c r="V1049"/>
  <c r="U1049"/>
  <c r="V1048"/>
  <c r="U1048"/>
  <c r="V1047"/>
  <c r="U1047"/>
  <c r="V1046"/>
  <c r="U1046"/>
  <c r="V1045"/>
  <c r="U1045"/>
  <c r="V1044"/>
  <c r="U1044"/>
  <c r="V1043"/>
  <c r="U1043"/>
  <c r="V1042"/>
  <c r="U1042"/>
  <c r="V1041"/>
  <c r="U1041"/>
  <c r="V1040"/>
  <c r="U1040"/>
  <c r="V1039"/>
  <c r="U1039"/>
  <c r="V1038"/>
  <c r="U1038"/>
  <c r="V1037"/>
  <c r="U1037"/>
  <c r="V1036"/>
  <c r="U1036"/>
  <c r="V1035"/>
  <c r="U1035"/>
  <c r="V1034"/>
  <c r="U1034"/>
  <c r="V1033"/>
  <c r="U1033"/>
  <c r="V1032"/>
  <c r="U1032"/>
  <c r="V1031"/>
  <c r="U1031"/>
  <c r="V1030"/>
  <c r="U1030"/>
  <c r="V1029"/>
  <c r="U1029"/>
  <c r="V1028"/>
  <c r="U1028"/>
  <c r="V1027"/>
  <c r="U1027"/>
  <c r="V1026"/>
  <c r="U1026"/>
  <c r="V1025"/>
  <c r="U1025"/>
  <c r="V1024"/>
  <c r="U1024"/>
  <c r="V1023"/>
  <c r="U1023"/>
  <c r="V1022"/>
  <c r="U1022"/>
  <c r="V1021"/>
  <c r="U1021"/>
  <c r="V1020"/>
  <c r="U1020"/>
  <c r="V1019"/>
  <c r="U1019"/>
  <c r="V1018"/>
  <c r="U1018"/>
  <c r="V1017"/>
  <c r="U1017"/>
  <c r="V1016"/>
  <c r="U1016"/>
  <c r="V1015"/>
  <c r="U1015"/>
  <c r="V1014"/>
  <c r="U1014"/>
  <c r="V1013"/>
  <c r="U1013"/>
  <c r="V1012"/>
  <c r="U1012"/>
  <c r="V1011"/>
  <c r="U1011"/>
  <c r="V1010"/>
  <c r="U1010"/>
  <c r="V1009"/>
  <c r="U1009"/>
  <c r="V1008"/>
  <c r="U1008"/>
  <c r="V1007"/>
  <c r="U1007"/>
  <c r="V1006"/>
  <c r="U1006"/>
  <c r="V1005"/>
  <c r="U1005"/>
  <c r="V1004"/>
  <c r="U1004"/>
  <c r="V1003"/>
  <c r="U1003"/>
  <c r="V1002"/>
  <c r="U1002"/>
  <c r="V1001"/>
  <c r="U1001"/>
  <c r="U1000"/>
  <c r="V999"/>
  <c r="U999"/>
  <c r="V998"/>
  <c r="U998"/>
  <c r="V997"/>
  <c r="U997"/>
  <c r="V996"/>
  <c r="U996"/>
  <c r="V995"/>
  <c r="U995"/>
  <c r="V994"/>
  <c r="U994"/>
  <c r="V993"/>
  <c r="U993"/>
  <c r="V992"/>
  <c r="U992"/>
  <c r="V991"/>
  <c r="U991"/>
  <c r="V990"/>
  <c r="U990"/>
  <c r="V989"/>
  <c r="U989"/>
  <c r="V988"/>
  <c r="U988"/>
  <c r="V987"/>
  <c r="U987"/>
  <c r="V986"/>
  <c r="U986"/>
  <c r="V985"/>
  <c r="U985"/>
  <c r="V984"/>
  <c r="U984"/>
  <c r="V983"/>
  <c r="U983"/>
  <c r="V982"/>
  <c r="U982"/>
  <c r="V981"/>
  <c r="U981"/>
  <c r="V980"/>
  <c r="U980"/>
  <c r="V979"/>
  <c r="U979"/>
  <c r="V978"/>
  <c r="U978"/>
  <c r="V977"/>
  <c r="U977"/>
  <c r="V976"/>
  <c r="U976"/>
  <c r="V975"/>
  <c r="U975"/>
  <c r="V974"/>
  <c r="U974"/>
  <c r="V973"/>
  <c r="U973"/>
  <c r="V972"/>
  <c r="U972"/>
  <c r="V971"/>
  <c r="U971"/>
  <c r="V970"/>
  <c r="U970"/>
  <c r="V969"/>
  <c r="U969"/>
  <c r="V968"/>
  <c r="U968"/>
  <c r="V967"/>
  <c r="U967"/>
  <c r="V966"/>
  <c r="U966"/>
  <c r="V965"/>
  <c r="U965"/>
  <c r="V964"/>
  <c r="U964"/>
  <c r="V963"/>
  <c r="U963"/>
  <c r="V962"/>
  <c r="U962"/>
  <c r="V961"/>
  <c r="U961"/>
  <c r="V960"/>
  <c r="U960"/>
  <c r="V959"/>
  <c r="U959"/>
  <c r="V958"/>
  <c r="U958"/>
  <c r="V957"/>
  <c r="U957"/>
  <c r="V956"/>
  <c r="U956"/>
  <c r="V955"/>
  <c r="U955"/>
  <c r="V954"/>
  <c r="U954"/>
  <c r="V953"/>
  <c r="U953"/>
  <c r="V952"/>
  <c r="U952"/>
  <c r="V951"/>
  <c r="U951"/>
  <c r="V950"/>
  <c r="U950"/>
  <c r="V949"/>
  <c r="U949"/>
  <c r="V948"/>
  <c r="U948"/>
  <c r="V947"/>
  <c r="U947"/>
  <c r="V946"/>
  <c r="U946"/>
  <c r="V945"/>
  <c r="U945"/>
  <c r="V944"/>
  <c r="U944"/>
  <c r="V943"/>
  <c r="U943"/>
  <c r="V942"/>
  <c r="U942"/>
  <c r="V941"/>
  <c r="U941"/>
  <c r="V940"/>
  <c r="U940"/>
  <c r="V939"/>
  <c r="U939"/>
  <c r="V938"/>
  <c r="U938"/>
  <c r="V937"/>
  <c r="U937"/>
  <c r="V936"/>
  <c r="U936"/>
  <c r="V935"/>
  <c r="U935"/>
  <c r="V934"/>
  <c r="U934"/>
  <c r="V933"/>
  <c r="U933"/>
  <c r="V932"/>
  <c r="U932"/>
  <c r="V931"/>
  <c r="U931"/>
  <c r="V930"/>
  <c r="U930"/>
  <c r="V929"/>
  <c r="U929"/>
  <c r="V928"/>
  <c r="U928"/>
  <c r="V927"/>
  <c r="U927"/>
  <c r="U926"/>
  <c r="V925"/>
  <c r="U925"/>
  <c r="V924"/>
  <c r="U924"/>
  <c r="V923"/>
  <c r="U923"/>
  <c r="V922"/>
  <c r="U922"/>
  <c r="V921"/>
  <c r="U921"/>
  <c r="V920"/>
  <c r="U920"/>
  <c r="V919"/>
  <c r="U919"/>
  <c r="V918"/>
  <c r="U918"/>
  <c r="V917"/>
  <c r="U917"/>
  <c r="V916"/>
  <c r="U916"/>
  <c r="V915"/>
  <c r="U915"/>
  <c r="U914"/>
  <c r="V913"/>
  <c r="U913"/>
  <c r="V912"/>
  <c r="U912"/>
  <c r="V911"/>
  <c r="U911"/>
  <c r="V910"/>
  <c r="U910"/>
  <c r="V909"/>
  <c r="U909"/>
  <c r="V908"/>
  <c r="U908"/>
  <c r="V907"/>
  <c r="U907"/>
  <c r="V906"/>
  <c r="U906"/>
  <c r="V905"/>
  <c r="U905"/>
  <c r="V904"/>
  <c r="U904"/>
  <c r="U903"/>
  <c r="V902"/>
  <c r="U902"/>
  <c r="V901"/>
  <c r="U901"/>
  <c r="V900"/>
  <c r="U900"/>
  <c r="V899"/>
  <c r="U899"/>
  <c r="V898"/>
  <c r="U898"/>
  <c r="U897"/>
  <c r="V896"/>
  <c r="U896"/>
  <c r="V895"/>
  <c r="U895"/>
  <c r="V894"/>
  <c r="U894"/>
  <c r="V893"/>
  <c r="U893"/>
  <c r="V892"/>
  <c r="U892"/>
  <c r="V891"/>
  <c r="U891"/>
  <c r="V890"/>
  <c r="U890"/>
  <c r="V889"/>
  <c r="U889"/>
  <c r="V888"/>
  <c r="U888"/>
  <c r="V887"/>
  <c r="U887"/>
  <c r="V886"/>
  <c r="U886"/>
  <c r="V885"/>
  <c r="U885"/>
  <c r="V884"/>
  <c r="U884"/>
  <c r="V883"/>
  <c r="U883"/>
  <c r="V882"/>
  <c r="U882"/>
  <c r="V881"/>
  <c r="U881"/>
  <c r="V880"/>
  <c r="U880"/>
  <c r="V879"/>
  <c r="U879"/>
  <c r="V878"/>
  <c r="U878"/>
  <c r="V877"/>
  <c r="U877"/>
  <c r="U876"/>
  <c r="V875"/>
  <c r="U875"/>
  <c r="V874"/>
  <c r="U874"/>
  <c r="V873"/>
  <c r="U873"/>
  <c r="V872"/>
  <c r="U872"/>
  <c r="V871"/>
  <c r="U871"/>
  <c r="V870"/>
  <c r="U870"/>
  <c r="V869"/>
  <c r="U869"/>
  <c r="V868"/>
  <c r="U868"/>
  <c r="V867"/>
  <c r="U867"/>
  <c r="V866"/>
  <c r="U866"/>
  <c r="V865"/>
  <c r="U865"/>
  <c r="V864"/>
  <c r="U864"/>
  <c r="V863"/>
  <c r="U863"/>
  <c r="V862"/>
  <c r="U862"/>
  <c r="V861"/>
  <c r="U861"/>
  <c r="V860"/>
  <c r="U860"/>
  <c r="V859"/>
  <c r="U859"/>
  <c r="V858"/>
  <c r="U858"/>
  <c r="V857"/>
  <c r="U857"/>
  <c r="V856"/>
  <c r="U856"/>
  <c r="V855"/>
  <c r="U855"/>
  <c r="V854"/>
  <c r="U854"/>
  <c r="V853"/>
  <c r="U853"/>
  <c r="V852"/>
  <c r="U852"/>
  <c r="V851"/>
  <c r="U851"/>
  <c r="V850"/>
  <c r="U850"/>
  <c r="V849"/>
  <c r="U849"/>
  <c r="V848"/>
  <c r="U848"/>
  <c r="V847"/>
  <c r="U847"/>
  <c r="V846"/>
  <c r="U846"/>
  <c r="V845"/>
  <c r="U845"/>
  <c r="V844"/>
  <c r="U844"/>
  <c r="V843"/>
  <c r="U843"/>
  <c r="V842"/>
  <c r="U842"/>
  <c r="V841"/>
  <c r="U841"/>
  <c r="V840"/>
  <c r="U840"/>
  <c r="V839"/>
  <c r="U839"/>
  <c r="V838"/>
  <c r="U838"/>
  <c r="V837"/>
  <c r="U837"/>
  <c r="V836"/>
  <c r="U836"/>
  <c r="V835"/>
  <c r="U835"/>
  <c r="V834"/>
  <c r="U834"/>
  <c r="V833"/>
  <c r="U833"/>
  <c r="V832"/>
  <c r="U832"/>
  <c r="V831"/>
  <c r="U831"/>
  <c r="V830"/>
  <c r="U830"/>
  <c r="V829"/>
  <c r="U829"/>
  <c r="V828"/>
  <c r="U828"/>
  <c r="V827"/>
  <c r="U827"/>
  <c r="V826"/>
  <c r="U826"/>
  <c r="V825"/>
  <c r="U825"/>
  <c r="V824"/>
  <c r="U824"/>
  <c r="V823"/>
  <c r="U823"/>
  <c r="V822"/>
  <c r="U822"/>
  <c r="V821"/>
  <c r="U821"/>
  <c r="V820"/>
  <c r="U820"/>
  <c r="V819"/>
  <c r="U819"/>
  <c r="V818"/>
  <c r="U818"/>
  <c r="V817"/>
  <c r="U817"/>
  <c r="V816"/>
  <c r="U816"/>
  <c r="V815"/>
  <c r="U815"/>
  <c r="V814"/>
  <c r="U814"/>
  <c r="V813"/>
  <c r="U813"/>
  <c r="V812"/>
  <c r="U812"/>
  <c r="V811"/>
  <c r="U811"/>
  <c r="V810"/>
  <c r="U810"/>
  <c r="V809"/>
  <c r="U809"/>
  <c r="V808"/>
  <c r="U808"/>
  <c r="V807"/>
  <c r="U807"/>
  <c r="V806"/>
  <c r="U806"/>
  <c r="V805"/>
  <c r="U805"/>
  <c r="V804"/>
  <c r="U804"/>
  <c r="V803"/>
  <c r="U803"/>
  <c r="V802"/>
  <c r="U802"/>
  <c r="V801"/>
  <c r="U801"/>
  <c r="V800"/>
  <c r="U800"/>
  <c r="V799"/>
  <c r="U799"/>
  <c r="V798"/>
  <c r="U798"/>
  <c r="V797"/>
  <c r="U797"/>
  <c r="V796"/>
  <c r="U796"/>
  <c r="V795"/>
  <c r="U795"/>
  <c r="V794"/>
  <c r="U794"/>
  <c r="V793"/>
  <c r="U793"/>
  <c r="V792"/>
  <c r="U792"/>
  <c r="V791"/>
  <c r="U791"/>
  <c r="V790"/>
  <c r="U790"/>
  <c r="V789"/>
  <c r="U789"/>
  <c r="V788"/>
  <c r="U788"/>
  <c r="V787"/>
  <c r="U787"/>
  <c r="V786"/>
  <c r="U786"/>
  <c r="V785"/>
  <c r="U785"/>
  <c r="V784"/>
  <c r="U784"/>
  <c r="V783"/>
  <c r="U783"/>
  <c r="V782"/>
  <c r="U782"/>
  <c r="V781"/>
  <c r="U781"/>
  <c r="V780"/>
  <c r="U780"/>
  <c r="V779"/>
  <c r="U779"/>
  <c r="V778"/>
  <c r="U778"/>
  <c r="V777"/>
  <c r="U777"/>
  <c r="V776"/>
  <c r="U776"/>
  <c r="V775"/>
  <c r="U775"/>
  <c r="V774"/>
  <c r="U774"/>
  <c r="V773"/>
  <c r="U773"/>
  <c r="V772"/>
  <c r="U772"/>
  <c r="V771"/>
  <c r="U771"/>
  <c r="U770"/>
  <c r="V769"/>
  <c r="U769"/>
  <c r="V768"/>
  <c r="U768"/>
  <c r="V767"/>
  <c r="U767"/>
  <c r="V766"/>
  <c r="U766"/>
  <c r="V765"/>
  <c r="U765"/>
  <c r="V764"/>
  <c r="U764"/>
  <c r="V763"/>
  <c r="U763"/>
  <c r="V762"/>
  <c r="U762"/>
  <c r="V761"/>
  <c r="U761"/>
  <c r="V760"/>
  <c r="U760"/>
  <c r="V759"/>
  <c r="U759"/>
  <c r="V758"/>
  <c r="U758"/>
  <c r="V757"/>
  <c r="U757"/>
  <c r="V756"/>
  <c r="U756"/>
  <c r="V755"/>
  <c r="U755"/>
  <c r="V754"/>
  <c r="U754"/>
  <c r="V753"/>
  <c r="U753"/>
  <c r="V752"/>
  <c r="U752"/>
  <c r="V751"/>
  <c r="U751"/>
  <c r="V750"/>
  <c r="U750"/>
  <c r="V749"/>
  <c r="U749"/>
  <c r="V748"/>
  <c r="U748"/>
  <c r="V747"/>
  <c r="U747"/>
  <c r="V746"/>
  <c r="U746"/>
  <c r="V745"/>
  <c r="U745"/>
  <c r="V744"/>
  <c r="U744"/>
  <c r="V743"/>
  <c r="U743"/>
  <c r="V742"/>
  <c r="U742"/>
  <c r="V741"/>
  <c r="U741"/>
  <c r="V740"/>
  <c r="U740"/>
  <c r="V739"/>
  <c r="U739"/>
  <c r="V738"/>
  <c r="U738"/>
  <c r="V737"/>
  <c r="U737"/>
  <c r="V736"/>
  <c r="U736"/>
  <c r="V735"/>
  <c r="U735"/>
  <c r="V734"/>
  <c r="U734"/>
  <c r="V733"/>
  <c r="U733"/>
  <c r="V732"/>
  <c r="U732"/>
  <c r="V731"/>
  <c r="U731"/>
  <c r="V730"/>
  <c r="U730"/>
  <c r="V729"/>
  <c r="U729"/>
  <c r="U728"/>
  <c r="V727"/>
  <c r="U727"/>
  <c r="V726"/>
  <c r="U726"/>
  <c r="V725"/>
  <c r="U725"/>
  <c r="V724"/>
  <c r="U724"/>
  <c r="V723"/>
  <c r="U723"/>
  <c r="V722"/>
  <c r="U722"/>
  <c r="V721"/>
  <c r="U721"/>
  <c r="V720"/>
  <c r="U720"/>
  <c r="V719"/>
  <c r="U719"/>
  <c r="V718"/>
  <c r="U718"/>
  <c r="V717"/>
  <c r="U717"/>
  <c r="V716"/>
  <c r="U716"/>
  <c r="V715"/>
  <c r="U715"/>
  <c r="V714"/>
  <c r="U714"/>
  <c r="V713"/>
  <c r="U713"/>
  <c r="V712"/>
  <c r="U712"/>
  <c r="V711"/>
  <c r="U711"/>
  <c r="V710"/>
  <c r="U710"/>
  <c r="V709"/>
  <c r="U709"/>
  <c r="V708"/>
  <c r="U708"/>
  <c r="V707"/>
  <c r="U707"/>
  <c r="V706"/>
  <c r="U706"/>
  <c r="V705"/>
  <c r="U705"/>
  <c r="V704"/>
  <c r="U704"/>
  <c r="V703"/>
  <c r="U703"/>
  <c r="V702"/>
  <c r="U702"/>
  <c r="U701"/>
  <c r="V700"/>
  <c r="U700"/>
  <c r="V699"/>
  <c r="U699"/>
  <c r="V698"/>
  <c r="U698"/>
  <c r="V697"/>
  <c r="U697"/>
  <c r="V696"/>
  <c r="U696"/>
  <c r="V695"/>
  <c r="U695"/>
  <c r="V694"/>
  <c r="U694"/>
  <c r="V693"/>
  <c r="U693"/>
  <c r="V692"/>
  <c r="U692"/>
  <c r="V691"/>
  <c r="U691"/>
  <c r="V690"/>
  <c r="U690"/>
  <c r="V689"/>
  <c r="U689"/>
  <c r="V688"/>
  <c r="U688"/>
  <c r="V687"/>
  <c r="U687"/>
  <c r="V686"/>
  <c r="U686"/>
  <c r="V685"/>
  <c r="U685"/>
  <c r="V684"/>
  <c r="U684"/>
  <c r="V683"/>
  <c r="U683"/>
  <c r="V682"/>
  <c r="U682"/>
  <c r="V681"/>
  <c r="U681"/>
  <c r="V680"/>
  <c r="U680"/>
  <c r="V679"/>
  <c r="U679"/>
  <c r="V678"/>
  <c r="U678"/>
  <c r="V677"/>
  <c r="U677"/>
  <c r="V676"/>
  <c r="U676"/>
  <c r="V675"/>
  <c r="U675"/>
  <c r="V674"/>
  <c r="U674"/>
  <c r="V673"/>
  <c r="U673"/>
  <c r="V672"/>
  <c r="U672"/>
  <c r="V671"/>
  <c r="U671"/>
  <c r="V670"/>
  <c r="U670"/>
  <c r="V669"/>
  <c r="U669"/>
  <c r="V668"/>
  <c r="U668"/>
  <c r="V667"/>
  <c r="U667"/>
  <c r="V666"/>
  <c r="U666"/>
  <c r="V665"/>
  <c r="U665"/>
  <c r="V664"/>
  <c r="U664"/>
  <c r="V663"/>
  <c r="U663"/>
  <c r="V662"/>
  <c r="U662"/>
  <c r="V661"/>
  <c r="U661"/>
  <c r="V660"/>
  <c r="U660"/>
  <c r="V659"/>
  <c r="U659"/>
  <c r="V658"/>
  <c r="U658"/>
  <c r="V657"/>
  <c r="U657"/>
  <c r="V656"/>
  <c r="U656"/>
  <c r="V655"/>
  <c r="U655"/>
  <c r="V654"/>
  <c r="U654"/>
  <c r="V653"/>
  <c r="U653"/>
  <c r="V652"/>
  <c r="U652"/>
  <c r="V651"/>
  <c r="U651"/>
  <c r="V650"/>
  <c r="U650"/>
  <c r="V649"/>
  <c r="U649"/>
  <c r="V648"/>
  <c r="U648"/>
  <c r="V647"/>
  <c r="U647"/>
  <c r="V646"/>
  <c r="U646"/>
  <c r="V645"/>
  <c r="U645"/>
  <c r="V644"/>
  <c r="U644"/>
  <c r="V643"/>
  <c r="U643"/>
  <c r="V642"/>
  <c r="U642"/>
  <c r="V641"/>
  <c r="U641"/>
  <c r="V640"/>
  <c r="U640"/>
  <c r="V639"/>
  <c r="U639"/>
  <c r="V638"/>
  <c r="U638"/>
  <c r="V637"/>
  <c r="U637"/>
  <c r="V636"/>
  <c r="U636"/>
  <c r="V635"/>
  <c r="U635"/>
  <c r="V634"/>
  <c r="U634"/>
  <c r="V633"/>
  <c r="U633"/>
  <c r="V632"/>
  <c r="U632"/>
  <c r="V631"/>
  <c r="U631"/>
  <c r="V630"/>
  <c r="U630"/>
  <c r="V629"/>
  <c r="U629"/>
  <c r="V628"/>
  <c r="U628"/>
  <c r="V627"/>
  <c r="U627"/>
  <c r="V626"/>
  <c r="U626"/>
  <c r="U625"/>
  <c r="V624"/>
  <c r="U624"/>
  <c r="V623"/>
  <c r="U623"/>
  <c r="V622"/>
  <c r="U622"/>
  <c r="V621"/>
  <c r="U621"/>
  <c r="V620"/>
  <c r="U620"/>
  <c r="V619"/>
  <c r="U619"/>
  <c r="V618"/>
  <c r="U618"/>
  <c r="V617"/>
  <c r="U617"/>
  <c r="V616"/>
  <c r="U616"/>
  <c r="V615"/>
  <c r="U615"/>
  <c r="V614"/>
  <c r="U614"/>
  <c r="V613"/>
  <c r="U613"/>
  <c r="V612"/>
  <c r="U612"/>
  <c r="V611"/>
  <c r="U611"/>
  <c r="V610"/>
  <c r="U610"/>
  <c r="V609"/>
  <c r="U609"/>
  <c r="V608"/>
  <c r="U608"/>
  <c r="V607"/>
  <c r="U607"/>
  <c r="V606"/>
  <c r="U606"/>
  <c r="V605"/>
  <c r="U605"/>
  <c r="V604"/>
  <c r="U604"/>
  <c r="V603"/>
  <c r="U603"/>
  <c r="V602"/>
  <c r="U602"/>
  <c r="V601"/>
  <c r="U601"/>
  <c r="V600"/>
  <c r="U600"/>
  <c r="V599"/>
  <c r="U599"/>
  <c r="V598"/>
  <c r="U598"/>
  <c r="V597"/>
  <c r="U597"/>
  <c r="V596"/>
  <c r="U596"/>
  <c r="V595"/>
  <c r="U595"/>
  <c r="V594"/>
  <c r="U594"/>
  <c r="V593"/>
  <c r="U593"/>
  <c r="V592"/>
  <c r="U592"/>
  <c r="V591"/>
  <c r="U591"/>
  <c r="V590"/>
  <c r="U590"/>
  <c r="V589"/>
  <c r="U589"/>
  <c r="V588"/>
  <c r="U588"/>
  <c r="V587"/>
  <c r="U587"/>
  <c r="V586"/>
  <c r="U586"/>
  <c r="V585"/>
  <c r="U585"/>
  <c r="V584"/>
  <c r="U584"/>
  <c r="V583"/>
  <c r="U583"/>
  <c r="V582"/>
  <c r="U582"/>
  <c r="V581"/>
  <c r="U581"/>
  <c r="V580"/>
  <c r="U580"/>
  <c r="V579"/>
  <c r="U579"/>
  <c r="V578"/>
  <c r="U578"/>
  <c r="V577"/>
  <c r="U577"/>
  <c r="V576"/>
  <c r="U576"/>
  <c r="V575"/>
  <c r="U575"/>
  <c r="V574"/>
  <c r="U574"/>
  <c r="V573"/>
  <c r="U573"/>
  <c r="V572"/>
  <c r="U572"/>
  <c r="V571"/>
  <c r="U571"/>
  <c r="V570"/>
  <c r="U570"/>
  <c r="V569"/>
  <c r="U569"/>
  <c r="U568"/>
  <c r="V567"/>
  <c r="U567"/>
  <c r="V566"/>
  <c r="U566"/>
  <c r="V565"/>
  <c r="U565"/>
  <c r="V564"/>
  <c r="U564"/>
  <c r="V563"/>
  <c r="U563"/>
  <c r="V562"/>
  <c r="U562"/>
  <c r="V561"/>
  <c r="U561"/>
  <c r="V560"/>
  <c r="U560"/>
  <c r="V559"/>
  <c r="U559"/>
  <c r="V558"/>
  <c r="U558"/>
  <c r="V557"/>
  <c r="U557"/>
  <c r="V556"/>
  <c r="U556"/>
  <c r="V555"/>
  <c r="U555"/>
  <c r="V554"/>
  <c r="U554"/>
  <c r="V553"/>
  <c r="U553"/>
  <c r="V552"/>
  <c r="U552"/>
  <c r="V551"/>
  <c r="U551"/>
  <c r="V550"/>
  <c r="U550"/>
  <c r="V549"/>
  <c r="U549"/>
  <c r="V548"/>
  <c r="U548"/>
  <c r="V547"/>
  <c r="U547"/>
  <c r="V546"/>
  <c r="U546"/>
  <c r="V545"/>
  <c r="U545"/>
  <c r="V544"/>
  <c r="U544"/>
  <c r="V543"/>
  <c r="U543"/>
  <c r="V542"/>
  <c r="U542"/>
  <c r="V541"/>
  <c r="U541"/>
  <c r="V540"/>
  <c r="U540"/>
  <c r="V539"/>
  <c r="U539"/>
  <c r="V538"/>
  <c r="U538"/>
  <c r="V537"/>
  <c r="U537"/>
  <c r="V536"/>
  <c r="U536"/>
  <c r="V535"/>
  <c r="U535"/>
  <c r="V534"/>
  <c r="U534"/>
  <c r="V533"/>
  <c r="U533"/>
  <c r="V532"/>
  <c r="U532"/>
  <c r="V531"/>
  <c r="U531"/>
  <c r="V530"/>
  <c r="U530"/>
  <c r="V529"/>
  <c r="U529"/>
  <c r="V528"/>
  <c r="U528"/>
  <c r="V527"/>
  <c r="U527"/>
  <c r="V526"/>
  <c r="U526"/>
  <c r="V525"/>
  <c r="U525"/>
  <c r="V524"/>
  <c r="U524"/>
  <c r="V523"/>
  <c r="U523"/>
  <c r="V522"/>
  <c r="U522"/>
  <c r="V521"/>
  <c r="U521"/>
  <c r="V520"/>
  <c r="U520"/>
  <c r="V519"/>
  <c r="U519"/>
  <c r="V518"/>
  <c r="U518"/>
  <c r="V517"/>
  <c r="U517"/>
  <c r="V516"/>
  <c r="U516"/>
  <c r="V515"/>
  <c r="U515"/>
  <c r="V514"/>
  <c r="U514"/>
  <c r="V513"/>
  <c r="U513"/>
  <c r="V512"/>
  <c r="U512"/>
  <c r="V511"/>
  <c r="U511"/>
  <c r="V510"/>
  <c r="U510"/>
  <c r="V509"/>
  <c r="U509"/>
  <c r="V508"/>
  <c r="U508"/>
  <c r="V507"/>
  <c r="U507"/>
  <c r="V506"/>
  <c r="U506"/>
  <c r="V505"/>
  <c r="U505"/>
  <c r="V504"/>
  <c r="U504"/>
  <c r="V503"/>
  <c r="U503"/>
  <c r="V502"/>
  <c r="U502"/>
  <c r="V501"/>
  <c r="U501"/>
  <c r="V500"/>
  <c r="U500"/>
  <c r="V499"/>
  <c r="U499"/>
  <c r="V498"/>
  <c r="U498"/>
  <c r="V497"/>
  <c r="U497"/>
  <c r="V496"/>
  <c r="U496"/>
  <c r="V495"/>
  <c r="U495"/>
  <c r="V494"/>
  <c r="U494"/>
  <c r="V493"/>
  <c r="U493"/>
  <c r="V492"/>
  <c r="U492"/>
  <c r="V491"/>
  <c r="U491"/>
  <c r="V490"/>
  <c r="U490"/>
  <c r="V489"/>
  <c r="U489"/>
  <c r="V488"/>
  <c r="U488"/>
  <c r="V487"/>
  <c r="U487"/>
  <c r="V486"/>
  <c r="U486"/>
  <c r="V485"/>
  <c r="U485"/>
  <c r="V484"/>
  <c r="U484"/>
  <c r="V483"/>
  <c r="U483"/>
  <c r="V482"/>
  <c r="U482"/>
  <c r="V481"/>
  <c r="U481"/>
  <c r="V480"/>
  <c r="U480"/>
  <c r="V479"/>
  <c r="U479"/>
  <c r="V478"/>
  <c r="U478"/>
  <c r="V477"/>
  <c r="U477"/>
  <c r="V476"/>
  <c r="U476"/>
  <c r="V475"/>
  <c r="U475"/>
  <c r="V474"/>
  <c r="U474"/>
  <c r="V473"/>
  <c r="U473"/>
  <c r="V472"/>
  <c r="U472"/>
  <c r="U471"/>
  <c r="U470"/>
  <c r="V469"/>
  <c r="U469"/>
  <c r="V468"/>
  <c r="U468"/>
  <c r="V467"/>
  <c r="U467"/>
  <c r="V466"/>
  <c r="U466"/>
  <c r="V465"/>
  <c r="U465"/>
  <c r="V464"/>
  <c r="U464"/>
  <c r="V463"/>
  <c r="U463"/>
  <c r="V462"/>
  <c r="U462"/>
  <c r="V461"/>
  <c r="U461"/>
  <c r="V460"/>
  <c r="U460"/>
  <c r="V459"/>
  <c r="U459"/>
  <c r="V458"/>
  <c r="U458"/>
  <c r="V457"/>
  <c r="U457"/>
  <c r="V456"/>
  <c r="U456"/>
  <c r="V455"/>
  <c r="U455"/>
  <c r="V454"/>
  <c r="U454"/>
  <c r="V453"/>
  <c r="U453"/>
  <c r="V452"/>
  <c r="U452"/>
  <c r="V451"/>
  <c r="U451"/>
  <c r="V450"/>
  <c r="U450"/>
  <c r="V449"/>
  <c r="U449"/>
  <c r="V448"/>
  <c r="U448"/>
  <c r="V447"/>
  <c r="U447"/>
  <c r="V446"/>
  <c r="U446"/>
  <c r="V445"/>
  <c r="U445"/>
  <c r="V444"/>
  <c r="U444"/>
  <c r="V443"/>
  <c r="U443"/>
  <c r="V442"/>
  <c r="U442"/>
  <c r="V441"/>
  <c r="U441"/>
  <c r="V440"/>
  <c r="U440"/>
  <c r="V439"/>
  <c r="U439"/>
  <c r="V438"/>
  <c r="U438"/>
  <c r="V437"/>
  <c r="U437"/>
  <c r="V436"/>
  <c r="U436"/>
  <c r="V435"/>
  <c r="U435"/>
  <c r="V434"/>
  <c r="U434"/>
  <c r="V433"/>
  <c r="U433"/>
  <c r="V432"/>
  <c r="U432"/>
  <c r="V431"/>
  <c r="U431"/>
  <c r="V430"/>
  <c r="U430"/>
  <c r="V429"/>
  <c r="U429"/>
  <c r="V428"/>
  <c r="U428"/>
  <c r="V427"/>
  <c r="U427"/>
  <c r="V426"/>
  <c r="U426"/>
  <c r="V425"/>
  <c r="U425"/>
  <c r="V424"/>
  <c r="U424"/>
  <c r="V423"/>
  <c r="U423"/>
  <c r="V422"/>
  <c r="U422"/>
  <c r="V421"/>
  <c r="U421"/>
  <c r="V420"/>
  <c r="U420"/>
  <c r="V419"/>
  <c r="U419"/>
  <c r="U418"/>
  <c r="V417"/>
  <c r="U417"/>
  <c r="V416"/>
  <c r="U416"/>
  <c r="V415"/>
  <c r="U415"/>
  <c r="V414"/>
  <c r="U414"/>
  <c r="V413"/>
  <c r="U413"/>
  <c r="V412"/>
  <c r="U412"/>
  <c r="V411"/>
  <c r="U411"/>
  <c r="V410"/>
  <c r="U410"/>
  <c r="V409"/>
  <c r="U409"/>
  <c r="V408"/>
  <c r="U408"/>
  <c r="V407"/>
  <c r="U407"/>
  <c r="V406"/>
  <c r="U406"/>
  <c r="V405"/>
  <c r="U405"/>
  <c r="V404"/>
  <c r="U404"/>
  <c r="V403"/>
  <c r="U403"/>
  <c r="V402"/>
  <c r="U402"/>
  <c r="V401"/>
  <c r="U401"/>
  <c r="V400"/>
  <c r="U400"/>
  <c r="V399"/>
  <c r="U399"/>
  <c r="V398"/>
  <c r="U398"/>
  <c r="V397"/>
  <c r="U397"/>
  <c r="V396"/>
  <c r="U396"/>
  <c r="V395"/>
  <c r="U395"/>
  <c r="V394"/>
  <c r="U394"/>
  <c r="V393"/>
  <c r="U393"/>
  <c r="V392"/>
  <c r="U392"/>
  <c r="V391"/>
  <c r="U391"/>
  <c r="U390"/>
  <c r="U389"/>
  <c r="V388"/>
  <c r="U388"/>
  <c r="V387"/>
  <c r="U387"/>
  <c r="V386"/>
  <c r="U386"/>
  <c r="V385"/>
  <c r="U385"/>
  <c r="V384"/>
  <c r="U384"/>
  <c r="V383"/>
  <c r="U383"/>
  <c r="V382"/>
  <c r="U382"/>
  <c r="V381"/>
  <c r="U381"/>
  <c r="V380"/>
  <c r="U380"/>
  <c r="V379"/>
  <c r="U379"/>
  <c r="V378"/>
  <c r="U378"/>
  <c r="V377"/>
  <c r="U377"/>
  <c r="V376"/>
  <c r="U376"/>
  <c r="V375"/>
  <c r="U375"/>
  <c r="V374"/>
  <c r="U374"/>
  <c r="V373"/>
  <c r="U373"/>
  <c r="V372"/>
  <c r="U372"/>
  <c r="V371"/>
  <c r="U371"/>
  <c r="V370"/>
  <c r="U370"/>
  <c r="V369"/>
  <c r="U369"/>
  <c r="V368"/>
  <c r="U368"/>
  <c r="V367"/>
  <c r="U367"/>
  <c r="V366"/>
  <c r="U366"/>
  <c r="V365"/>
  <c r="U365"/>
  <c r="V364"/>
  <c r="U364"/>
  <c r="V363"/>
  <c r="U363"/>
  <c r="V362"/>
  <c r="U362"/>
  <c r="V361"/>
  <c r="U361"/>
  <c r="V360"/>
  <c r="U360"/>
  <c r="V359"/>
  <c r="U359"/>
  <c r="V358"/>
  <c r="U358"/>
  <c r="V357"/>
  <c r="U357"/>
  <c r="V356"/>
  <c r="U356"/>
  <c r="V355"/>
  <c r="U355"/>
  <c r="V354"/>
  <c r="U354"/>
  <c r="U353"/>
  <c r="V352"/>
  <c r="U352"/>
  <c r="V351"/>
  <c r="U351"/>
  <c r="V350"/>
  <c r="U350"/>
  <c r="V349"/>
  <c r="U349"/>
  <c r="V348"/>
  <c r="U348"/>
  <c r="V347"/>
  <c r="U347"/>
  <c r="V346"/>
  <c r="U346"/>
  <c r="V345"/>
  <c r="U345"/>
  <c r="V344"/>
  <c r="U344"/>
  <c r="V343"/>
  <c r="U343"/>
  <c r="V342"/>
  <c r="U342"/>
  <c r="V341"/>
  <c r="U341"/>
  <c r="V340"/>
  <c r="U340"/>
  <c r="V339"/>
  <c r="U339"/>
  <c r="V338"/>
  <c r="U338"/>
  <c r="V337"/>
  <c r="U337"/>
  <c r="V336"/>
  <c r="U336"/>
  <c r="V335"/>
  <c r="U335"/>
  <c r="V334"/>
  <c r="U334"/>
  <c r="V333"/>
  <c r="U333"/>
  <c r="V332"/>
  <c r="U332"/>
  <c r="V331"/>
  <c r="U331"/>
  <c r="V330"/>
  <c r="U330"/>
  <c r="V329"/>
  <c r="U329"/>
  <c r="V328"/>
  <c r="U328"/>
  <c r="V327"/>
  <c r="U327"/>
  <c r="V326"/>
  <c r="U326"/>
  <c r="V325"/>
  <c r="U325"/>
  <c r="V324"/>
  <c r="U324"/>
  <c r="V323"/>
  <c r="U323"/>
  <c r="V322"/>
  <c r="U322"/>
  <c r="V321"/>
  <c r="U321"/>
  <c r="V320"/>
  <c r="U320"/>
  <c r="U319"/>
  <c r="V318"/>
  <c r="U318"/>
  <c r="V317"/>
  <c r="U317"/>
  <c r="V316"/>
  <c r="U316"/>
  <c r="V315"/>
  <c r="U315"/>
  <c r="V314"/>
  <c r="U314"/>
  <c r="V313"/>
  <c r="U313"/>
  <c r="V312"/>
  <c r="U312"/>
  <c r="V311"/>
  <c r="U311"/>
  <c r="V310"/>
  <c r="U310"/>
  <c r="V309"/>
  <c r="U309"/>
  <c r="V308"/>
  <c r="U308"/>
  <c r="V307"/>
  <c r="U307"/>
  <c r="V306"/>
  <c r="U306"/>
  <c r="V305"/>
  <c r="U305"/>
  <c r="V304"/>
  <c r="U304"/>
  <c r="V303"/>
  <c r="U303"/>
  <c r="V302"/>
  <c r="U302"/>
  <c r="V301"/>
  <c r="U301"/>
  <c r="V300"/>
  <c r="U300"/>
  <c r="V299"/>
  <c r="U299"/>
  <c r="V298"/>
  <c r="U298"/>
  <c r="V297"/>
  <c r="U297"/>
  <c r="V296"/>
  <c r="U296"/>
  <c r="V295"/>
  <c r="U295"/>
  <c r="V294"/>
  <c r="U294"/>
  <c r="V293"/>
  <c r="U293"/>
  <c r="V292"/>
  <c r="U292"/>
  <c r="V291"/>
  <c r="U291"/>
  <c r="V290"/>
  <c r="U290"/>
  <c r="V289"/>
  <c r="U289"/>
  <c r="V288"/>
  <c r="U288"/>
  <c r="V287"/>
  <c r="U287"/>
  <c r="V286"/>
  <c r="U286"/>
  <c r="V285"/>
  <c r="U285"/>
  <c r="V284"/>
  <c r="U284"/>
  <c r="V283"/>
  <c r="U283"/>
  <c r="V282"/>
  <c r="U282"/>
  <c r="V281"/>
  <c r="U281"/>
  <c r="V280"/>
  <c r="U280"/>
  <c r="V279"/>
  <c r="U279"/>
  <c r="V278"/>
  <c r="U278"/>
  <c r="V277"/>
  <c r="U277"/>
  <c r="V276"/>
  <c r="U276"/>
  <c r="V275"/>
  <c r="U275"/>
  <c r="V274"/>
  <c r="U274"/>
  <c r="V273"/>
  <c r="U273"/>
  <c r="V272"/>
  <c r="U272"/>
  <c r="V271"/>
  <c r="U271"/>
  <c r="V270"/>
  <c r="U270"/>
  <c r="V269"/>
  <c r="U269"/>
  <c r="V268"/>
  <c r="U268"/>
  <c r="V267"/>
  <c r="U267"/>
  <c r="V266"/>
  <c r="U266"/>
  <c r="V265"/>
  <c r="U265"/>
  <c r="V264"/>
  <c r="U264"/>
  <c r="V263"/>
  <c r="U263"/>
  <c r="V262"/>
  <c r="U262"/>
  <c r="V261"/>
  <c r="U261"/>
  <c r="V260"/>
  <c r="U260"/>
  <c r="V259"/>
  <c r="U259"/>
  <c r="V258"/>
  <c r="U258"/>
  <c r="V257"/>
  <c r="U257"/>
  <c r="V256"/>
  <c r="U256"/>
  <c r="V255"/>
  <c r="U255"/>
  <c r="V254"/>
  <c r="U254"/>
  <c r="V253"/>
  <c r="U253"/>
  <c r="V252"/>
  <c r="U252"/>
  <c r="V251"/>
  <c r="U251"/>
  <c r="V250"/>
  <c r="U250"/>
  <c r="V249"/>
  <c r="U249"/>
  <c r="V248"/>
  <c r="U248"/>
  <c r="V247"/>
  <c r="U247"/>
  <c r="V246"/>
  <c r="U246"/>
  <c r="V245"/>
  <c r="U245"/>
  <c r="V244"/>
  <c r="U244"/>
  <c r="V243"/>
  <c r="U243"/>
  <c r="V242"/>
  <c r="U242"/>
  <c r="V241"/>
  <c r="U241"/>
  <c r="V240"/>
  <c r="U240"/>
  <c r="V239"/>
  <c r="U239"/>
  <c r="V238"/>
  <c r="V237"/>
  <c r="U237"/>
  <c r="V236"/>
  <c r="U236"/>
  <c r="V235"/>
  <c r="U235"/>
  <c r="V234"/>
  <c r="U234"/>
  <c r="V233"/>
  <c r="U233"/>
  <c r="V232"/>
  <c r="U232"/>
  <c r="V231"/>
  <c r="U231"/>
  <c r="V230"/>
  <c r="U230"/>
  <c r="V229"/>
  <c r="U229"/>
  <c r="V228"/>
  <c r="U228"/>
  <c r="V227"/>
  <c r="U227"/>
  <c r="V226"/>
  <c r="U226"/>
  <c r="V225"/>
  <c r="U225"/>
  <c r="V224"/>
  <c r="U224"/>
  <c r="V223"/>
  <c r="U223"/>
  <c r="V222"/>
  <c r="U222"/>
  <c r="V221"/>
  <c r="U221"/>
  <c r="V220"/>
  <c r="U220"/>
  <c r="V219"/>
  <c r="U219"/>
  <c r="V218"/>
  <c r="U218"/>
  <c r="V217"/>
  <c r="U217"/>
  <c r="V216"/>
  <c r="U216"/>
  <c r="V215"/>
  <c r="U215"/>
  <c r="V214"/>
  <c r="U214"/>
  <c r="V213"/>
  <c r="U213"/>
  <c r="V212"/>
  <c r="U212"/>
  <c r="V211"/>
  <c r="U211"/>
  <c r="V210"/>
  <c r="U210"/>
  <c r="V209"/>
  <c r="U209"/>
  <c r="V208"/>
  <c r="U208"/>
  <c r="V207"/>
  <c r="U207"/>
  <c r="V206"/>
  <c r="U206"/>
  <c r="V205"/>
  <c r="U205"/>
  <c r="V204"/>
  <c r="U204"/>
  <c r="V203"/>
  <c r="U203"/>
  <c r="V202"/>
  <c r="U202"/>
  <c r="V201"/>
  <c r="U201"/>
  <c r="V200"/>
  <c r="U200"/>
  <c r="V199"/>
  <c r="U199"/>
  <c r="V198"/>
  <c r="U198"/>
  <c r="V197"/>
  <c r="U197"/>
  <c r="V196"/>
  <c r="U196"/>
  <c r="V195"/>
  <c r="U195"/>
  <c r="V194"/>
  <c r="U194"/>
  <c r="V193"/>
  <c r="U193"/>
  <c r="V192"/>
  <c r="U192"/>
  <c r="V191"/>
  <c r="U191"/>
  <c r="V190"/>
  <c r="U190"/>
  <c r="V189"/>
  <c r="U189"/>
  <c r="V188"/>
  <c r="U188"/>
  <c r="V187"/>
  <c r="U187"/>
  <c r="V186"/>
  <c r="U186"/>
  <c r="V185"/>
  <c r="U185"/>
  <c r="V184"/>
  <c r="U184"/>
  <c r="V183"/>
  <c r="U183"/>
  <c r="V182"/>
  <c r="U182"/>
  <c r="V181"/>
  <c r="U181"/>
  <c r="V180"/>
  <c r="U180"/>
  <c r="V179"/>
  <c r="U179"/>
  <c r="V178"/>
  <c r="U178"/>
  <c r="V177"/>
  <c r="U177"/>
  <c r="V176"/>
  <c r="U176"/>
  <c r="V175"/>
  <c r="U175"/>
  <c r="V174"/>
  <c r="U174"/>
  <c r="V173"/>
  <c r="U173"/>
  <c r="V172"/>
  <c r="U172"/>
  <c r="V171"/>
  <c r="U171"/>
  <c r="V170"/>
  <c r="U170"/>
  <c r="V169"/>
  <c r="U169"/>
  <c r="V168"/>
  <c r="U168"/>
  <c r="V167"/>
  <c r="U167"/>
  <c r="V166"/>
  <c r="U166"/>
  <c r="V165"/>
  <c r="U165"/>
  <c r="V164"/>
  <c r="U164"/>
  <c r="V163"/>
  <c r="U163"/>
  <c r="V162"/>
  <c r="U162"/>
  <c r="V161"/>
  <c r="U161"/>
  <c r="V160"/>
  <c r="U160"/>
  <c r="V159"/>
  <c r="U159"/>
  <c r="V158"/>
  <c r="U158"/>
  <c r="V157"/>
  <c r="U157"/>
  <c r="V156"/>
  <c r="U156"/>
  <c r="V155"/>
  <c r="U155"/>
  <c r="V154"/>
  <c r="U154"/>
  <c r="V153"/>
  <c r="U153"/>
  <c r="V152"/>
  <c r="U152"/>
  <c r="V151"/>
  <c r="U151"/>
  <c r="V150"/>
  <c r="U150"/>
  <c r="V149"/>
  <c r="U149"/>
  <c r="V148"/>
  <c r="U148"/>
  <c r="V147"/>
  <c r="U147"/>
  <c r="V146"/>
  <c r="U146"/>
  <c r="V145"/>
  <c r="U145"/>
  <c r="V144"/>
  <c r="U144"/>
  <c r="V143"/>
  <c r="U143"/>
  <c r="V142"/>
  <c r="U142"/>
  <c r="V141"/>
  <c r="U141"/>
  <c r="V140"/>
  <c r="U140"/>
  <c r="V139"/>
  <c r="U139"/>
  <c r="V138"/>
  <c r="U138"/>
  <c r="V137"/>
  <c r="U137"/>
  <c r="V136"/>
  <c r="U136"/>
  <c r="V135"/>
  <c r="U135"/>
  <c r="V134"/>
  <c r="U134"/>
  <c r="V133"/>
  <c r="U133"/>
  <c r="V132"/>
  <c r="U132"/>
  <c r="V131"/>
  <c r="U131"/>
  <c r="V130"/>
  <c r="U130"/>
  <c r="V129"/>
  <c r="U129"/>
  <c r="V128"/>
  <c r="U128"/>
  <c r="V127"/>
  <c r="U127"/>
  <c r="V126"/>
  <c r="U126"/>
  <c r="V125"/>
  <c r="U125"/>
  <c r="V124"/>
  <c r="U124"/>
  <c r="V123"/>
  <c r="U123"/>
  <c r="V122"/>
  <c r="U122"/>
  <c r="V121"/>
  <c r="U121"/>
  <c r="V120"/>
  <c r="U120"/>
  <c r="V119"/>
  <c r="U119"/>
  <c r="V118"/>
  <c r="U118"/>
  <c r="V117"/>
  <c r="U117"/>
  <c r="V116"/>
  <c r="U116"/>
  <c r="V115"/>
  <c r="U115"/>
  <c r="V114"/>
  <c r="U114"/>
  <c r="V113"/>
  <c r="U113"/>
  <c r="V112"/>
  <c r="U112"/>
  <c r="V111"/>
  <c r="U111"/>
  <c r="V110"/>
  <c r="U110"/>
  <c r="V109"/>
  <c r="U109"/>
  <c r="V108"/>
  <c r="U108"/>
  <c r="V107"/>
  <c r="U107"/>
  <c r="V106"/>
  <c r="U106"/>
  <c r="V105"/>
  <c r="U105"/>
  <c r="V104"/>
  <c r="U104"/>
  <c r="V103"/>
  <c r="U103"/>
  <c r="V102"/>
  <c r="U102"/>
  <c r="V101"/>
  <c r="U101"/>
  <c r="V100"/>
  <c r="U100"/>
  <c r="V99"/>
  <c r="U99"/>
  <c r="V98"/>
  <c r="U98"/>
  <c r="V97"/>
  <c r="U97"/>
  <c r="V96"/>
  <c r="U96"/>
  <c r="V95"/>
  <c r="U95"/>
  <c r="V94"/>
  <c r="V93"/>
  <c r="U93"/>
  <c r="V92"/>
  <c r="U92"/>
  <c r="V91"/>
  <c r="U91"/>
  <c r="V90"/>
  <c r="U90"/>
  <c r="V89"/>
  <c r="U89"/>
  <c r="V88"/>
  <c r="U88"/>
  <c r="V87"/>
  <c r="U87"/>
  <c r="V86"/>
  <c r="U86"/>
  <c r="V85"/>
  <c r="U85"/>
  <c r="V84"/>
  <c r="U84"/>
  <c r="V83"/>
  <c r="U83"/>
  <c r="V82"/>
  <c r="U82"/>
  <c r="V81"/>
  <c r="U81"/>
  <c r="V80"/>
  <c r="U80"/>
  <c r="V79"/>
  <c r="U79"/>
  <c r="V78"/>
  <c r="U78"/>
  <c r="V77"/>
  <c r="U77"/>
  <c r="V76"/>
  <c r="U76"/>
  <c r="V75"/>
  <c r="U75"/>
  <c r="V74"/>
  <c r="U74"/>
  <c r="V73"/>
  <c r="U73"/>
  <c r="V72"/>
  <c r="U72"/>
  <c r="V71"/>
  <c r="U71"/>
  <c r="V70"/>
  <c r="U70"/>
  <c r="V69"/>
  <c r="U69"/>
  <c r="V68"/>
  <c r="U68"/>
  <c r="V67"/>
  <c r="U67"/>
  <c r="V66"/>
  <c r="U66"/>
  <c r="V65"/>
  <c r="U65"/>
  <c r="V64"/>
  <c r="U64"/>
  <c r="V63"/>
  <c r="U63"/>
  <c r="V62"/>
  <c r="U62"/>
  <c r="V61"/>
  <c r="U61"/>
  <c r="V60"/>
  <c r="U60"/>
  <c r="V59"/>
  <c r="U59"/>
  <c r="V58"/>
  <c r="U58"/>
  <c r="V57"/>
  <c r="U57"/>
  <c r="V56"/>
  <c r="U56"/>
  <c r="V55"/>
  <c r="U55"/>
  <c r="V54"/>
  <c r="U54"/>
  <c r="V53"/>
  <c r="U53"/>
  <c r="V52"/>
  <c r="U52"/>
  <c r="V51"/>
  <c r="U51"/>
  <c r="V50"/>
  <c r="U50"/>
  <c r="V49"/>
  <c r="U49"/>
  <c r="V48"/>
  <c r="U48"/>
  <c r="V47"/>
  <c r="U47"/>
  <c r="V46"/>
  <c r="U46"/>
  <c r="V45"/>
  <c r="U45"/>
  <c r="V44"/>
  <c r="U44"/>
  <c r="V43"/>
  <c r="U43"/>
  <c r="V42"/>
  <c r="U42"/>
  <c r="V41"/>
  <c r="U41"/>
  <c r="V40"/>
  <c r="U40"/>
  <c r="V39"/>
  <c r="U39"/>
  <c r="V38"/>
  <c r="U38"/>
  <c r="V37"/>
  <c r="U37"/>
  <c r="V36"/>
  <c r="U36"/>
  <c r="V35"/>
  <c r="U35"/>
  <c r="V34"/>
  <c r="U34"/>
  <c r="V33"/>
  <c r="U33"/>
  <c r="V32"/>
  <c r="U32"/>
  <c r="V31"/>
  <c r="U31"/>
  <c r="V30"/>
  <c r="U30"/>
  <c r="V29"/>
  <c r="U29"/>
  <c r="V28"/>
  <c r="U28"/>
  <c r="V27"/>
  <c r="U27"/>
  <c r="V26"/>
  <c r="U26"/>
  <c r="V25"/>
  <c r="U25"/>
  <c r="V24"/>
  <c r="U24"/>
  <c r="V23"/>
  <c r="U23"/>
  <c r="V22"/>
  <c r="U22"/>
  <c r="V21"/>
  <c r="U21"/>
  <c r="V20"/>
  <c r="U20"/>
  <c r="V19"/>
  <c r="U19"/>
  <c r="V18"/>
  <c r="U18"/>
  <c r="V17"/>
  <c r="U17"/>
  <c r="V16"/>
  <c r="U16"/>
  <c r="V15"/>
  <c r="U15"/>
  <c r="V14"/>
  <c r="U14"/>
  <c r="V13"/>
  <c r="U13"/>
  <c r="V12"/>
  <c r="U12"/>
  <c r="V11"/>
  <c r="U11"/>
  <c r="V10"/>
  <c r="U10"/>
  <c r="V9"/>
  <c r="U9"/>
  <c r="V8"/>
  <c r="U8"/>
  <c r="A5"/>
  <c r="A4"/>
</calcChain>
</file>

<file path=xl/sharedStrings.xml><?xml version="1.0" encoding="utf-8"?>
<sst xmlns="http://schemas.openxmlformats.org/spreadsheetml/2006/main" count="22056" uniqueCount="8546">
  <si>
    <t>ИНФРА-М Научно-издательский Центр</t>
  </si>
  <si>
    <t>004. СПО (для учебных заведений и библиотек)
от 07.10.2025</t>
  </si>
  <si>
    <t>Данный прайс-лист не является публичной офертой</t>
  </si>
  <si>
    <t>127282, Москва г, ул Полярная, д. 31В, стр. 1, помещ 1/1</t>
  </si>
  <si>
    <t>Издательство оставляет за собой право на изменение ассортимента и цен на издания.
Информацию о наличии товара и актуальные цены уточняйте у вашего курирующего менеджера 
или напишите нам на электронную почту books@infra-m.ru</t>
  </si>
  <si>
    <t>тел/факс: +7 (495) 280-15-96</t>
  </si>
  <si>
    <t>Заказ</t>
  </si>
  <si>
    <t>Код</t>
  </si>
  <si>
    <t>Цена опт.</t>
  </si>
  <si>
    <t>Наименование товара</t>
  </si>
  <si>
    <t>Основное заглавие</t>
  </si>
  <si>
    <t>Авторы</t>
  </si>
  <si>
    <t>Оформление</t>
  </si>
  <si>
    <t>Издательство</t>
  </si>
  <si>
    <t>Серия</t>
  </si>
  <si>
    <t>Ст-т</t>
  </si>
  <si>
    <t>Стр.</t>
  </si>
  <si>
    <t>Год</t>
  </si>
  <si>
    <t>ISBN</t>
  </si>
  <si>
    <t>Раздел</t>
  </si>
  <si>
    <t>Подраздел</t>
  </si>
  <si>
    <t>Вид издания</t>
  </si>
  <si>
    <t>Уровень образования</t>
  </si>
  <si>
    <t>ОКСО</t>
  </si>
  <si>
    <t>Гриф МО</t>
  </si>
  <si>
    <t>Доп. мат. на znanium</t>
  </si>
  <si>
    <t>Обложка</t>
  </si>
  <si>
    <t>ЭБС Znanium</t>
  </si>
  <si>
    <t>Аффилиация автора</t>
  </si>
  <si>
    <t>Новинка месяца</t>
  </si>
  <si>
    <t>ПООП</t>
  </si>
  <si>
    <t>К</t>
  </si>
  <si>
    <t>Ш</t>
  </si>
  <si>
    <t>Победитель конкурсов</t>
  </si>
  <si>
    <t>682799.03.01</t>
  </si>
  <si>
    <t>3D Studio Max + VRay. Проектир...: Уч.пос. / Д.А.Хворостов, - 2 изд. - М.:Форум, НИЦ ИНФРА-М,2025. - 333 с.(п)</t>
  </si>
  <si>
    <t>3D STUDIO MAX + VRAY. ПРОЕКТИРОВАНИЕ ДИЗАЙНА СРЕДЫ, ИЗД.2</t>
  </si>
  <si>
    <t>Хворостов Д.А.</t>
  </si>
  <si>
    <t>Переплет 7БЦ</t>
  </si>
  <si>
    <t>Форум</t>
  </si>
  <si>
    <t>Среднее профессиональное образование</t>
  </si>
  <si>
    <t>978-5-00091-802-9</t>
  </si>
  <si>
    <t>ПРИКЛАДНЫЕ НАУКИ. ТЕХНИКА. МЕДИЦИНА</t>
  </si>
  <si>
    <t>Информатика. Вычислительная техника</t>
  </si>
  <si>
    <t>Учебное пособие</t>
  </si>
  <si>
    <t>Профессиональное образование / Среднее профессиональное образование</t>
  </si>
  <si>
    <t>54.01.20, 54.02.01, 54.02.03, 54.02.06, 54.02.07, 54.02.08, 09.02.10</t>
  </si>
  <si>
    <t>Орловский государственный университет им. И.С. Тургенева</t>
  </si>
  <si>
    <t>32</t>
  </si>
  <si>
    <t>0224</t>
  </si>
  <si>
    <t>856283.01.01</t>
  </si>
  <si>
    <t>Aviation English for aircraft maintenance ..: Уч. / В.И.Петрищев - М.:НИЦ ИНФРА-М,2026 - 354 с.(СПО)(п)</t>
  </si>
  <si>
    <t>AVIATION ENGLISH FOR AIRCRAFT MAINTENANCE ENGINEERS, TECHNICIANS, AND MECHANICS (АВИАЦИОННЫЙ АНГЛИЙСКИЙ ЯЗЫК ДЛЯ ИНЖЕНЕРОВ, ТЕХНИКОВ И МЕХАНИКОВ ПО ОБCЛУЖИВАНИЮ ВОЗДУШНЫХ СУДОВ)</t>
  </si>
  <si>
    <t>Петрищев В.И., Грасс Т.П.</t>
  </si>
  <si>
    <t>НИЦ ИНФРА-М</t>
  </si>
  <si>
    <t>978-5-16-021204-3</t>
  </si>
  <si>
    <t>ГУМАНИТАРНЫЕ НАУКИ. РЕЛИГИЯ. ИСКУССТВО</t>
  </si>
  <si>
    <t>Филологические науки</t>
  </si>
  <si>
    <t>Учебник</t>
  </si>
  <si>
    <t>25.02.01, 25.02.04, 25.02.05</t>
  </si>
  <si>
    <t>Санкт-Петербургский государственный университет гражданской авиации</t>
  </si>
  <si>
    <t>Сентябрь, 2025</t>
  </si>
  <si>
    <t>0126</t>
  </si>
  <si>
    <t>682800.06.01</t>
  </si>
  <si>
    <t>Delphi: програм. в примерах и задачах. Прак. / Г.М.Эйдлина, - 2 изд. - М.:ИЦ РИОР, НИЦ ИНФРА-М,2026. - 138 с.(СПО)(о)</t>
  </si>
  <si>
    <t>DELPHI: ПРОГРАММИРОВАНИЕ В ПРИМЕРАХ И ЗАДАЧАХ. ПРАКТИКУМ, ИЗД.2</t>
  </si>
  <si>
    <t>Эйдлина Г.М., Милорадов К.А.</t>
  </si>
  <si>
    <t>Обложка. КБС</t>
  </si>
  <si>
    <t>ИЦ РИОР</t>
  </si>
  <si>
    <t>СПО</t>
  </si>
  <si>
    <t>978-5-369-01762-3</t>
  </si>
  <si>
    <t>Практикум</t>
  </si>
  <si>
    <t>09.02.01, 09.02.02, 09.02.03, 09.02.04, 09.02.05, 09.02.06, 09.02.07, 10.02.01, 10.02.02, 10.02.03, 10.02.04, 10.02.05</t>
  </si>
  <si>
    <t>Российский экономический университет им. Г.В. Плеханова</t>
  </si>
  <si>
    <t>0218</t>
  </si>
  <si>
    <t>837758.01.01</t>
  </si>
  <si>
    <t>English for Agriculture and Agronomy «Английский яз...: Уч. / М.В.Мельничук - М.:НИЦ ИНФРА-М,2025. - 437 с.(п)</t>
  </si>
  <si>
    <t>ENGLISH FOR AGRICULTURE AND AGRONOMY «АНГЛИЙСКИЙ ЯЗЫК ДЛЯ СПЕЦИАЛИСТОВ СЕЛЬСКОГО ХОЗЯЙСТВА И АГРОНОМОВ</t>
  </si>
  <si>
    <t>Мельничук М.В., Анюшенкова О.Н.</t>
  </si>
  <si>
    <t>Среднее профессиональное образование (ФинУн)</t>
  </si>
  <si>
    <t>978-5-16-020279-2</t>
  </si>
  <si>
    <t>35.02.05</t>
  </si>
  <si>
    <t>Финансовый университет при Правительстве Российской Федерации</t>
  </si>
  <si>
    <t>Декабрь, 2024</t>
  </si>
  <si>
    <t>0125</t>
  </si>
  <si>
    <t>СПО-2024, Победитель, I место</t>
  </si>
  <si>
    <t>063800.16.01</t>
  </si>
  <si>
    <t>English for students of economics: Уч./ Л.А.Халилова - 4 изд. - М.:Форум,ИНФРА-М,2023 - 383с. (СПО)(П)</t>
  </si>
  <si>
    <t>ENGLISH FOR STUDENTS OF ECONOMICS = АНГЛИЙСКИЙ ЯЗЫК ДЛЯ СТУДЕНТОВ-ЭКОНОМИСТОВ, ИЗД.4</t>
  </si>
  <si>
    <t>Халилова Л. А.</t>
  </si>
  <si>
    <t>Переплет 7БЦ/Без шитья</t>
  </si>
  <si>
    <t>978-5-00091-775-6</t>
  </si>
  <si>
    <t>38.01.02, 38.01.03, 38.02.01, 38.02.02, 38.02.03, 38.02.06, 38.02.07, 38.02.08</t>
  </si>
  <si>
    <t>Допущено Министерством образования и науки Российской Федерации в качестве учебника для студентов образовательных учреждений среднего профессионального образования</t>
  </si>
  <si>
    <t>Российский государственный гуманитарный университет РГГУ</t>
  </si>
  <si>
    <t>0415</t>
  </si>
  <si>
    <t>786395.01.01</t>
  </si>
  <si>
    <t>English for Students of Electronics. Англ. яз..: Уч. / О.Н.Анюшенкова-М.:НИЦ ИНФРА-М,2023.-462 с.(П)</t>
  </si>
  <si>
    <t>АНГЛИЙСКИЙ ЯЗЫК ДЛЯ СТУДЕНТОВ, ИЗУЧАЮЩИХ ЭЛЕКТРОНИКУ (ENGLISH FOR STUDENTS OF ELECTRONICS)</t>
  </si>
  <si>
    <t>Анюшенкова О.Н.</t>
  </si>
  <si>
    <t>978-5-16-018509-5</t>
  </si>
  <si>
    <t>11.01.01, 11.01.02, 11.01.05, 11.01.08, 11.01.11, 11.02.03, 11.02.06, 11.02.07, 11.02.09, 11.02.11, 11.02.12, 11.02.13, 11.02.14, 11.02.15, 11.02.16, 11.02.17, 11.02.18, 11.02.19</t>
  </si>
  <si>
    <t>0123</t>
  </si>
  <si>
    <t>684900.08.01</t>
  </si>
  <si>
    <t>Essential English for Law (англ. яз. для юристов): Уч.пос. / Т.В.Сидоренко - М.:НИЦ ИНФРА-М,2024- 282с(П)</t>
  </si>
  <si>
    <t>ESSENTIAL ENGLISH FOR LAW (АНГЛИЙСКИЙ ЯЗЫК ДЛЯ ЮРИСТОВ)</t>
  </si>
  <si>
    <t>Сидоренко Т.В., Шагиева Н.М.</t>
  </si>
  <si>
    <t>978-5-16-014148-0</t>
  </si>
  <si>
    <t>40.02.02, 40.02.04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</si>
  <si>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40.02.01 «Право и организация социального обеспечения», 40.02.02 «Правоохранительная деятельность», 40.02.03 «Право и судебное администрирование»</t>
  </si>
  <si>
    <t>Санкт-Петербургский университет Министерства внутренних дел России</t>
  </si>
  <si>
    <t>0119</t>
  </si>
  <si>
    <t>712459.09.01</t>
  </si>
  <si>
    <t>Legal English: Англ. яз. для юристов: Уч./ Е.Б.Попов - М.:НИЦ ИНФРА-М,2025 - 314 с.(СПО)(П)</t>
  </si>
  <si>
    <t>LEGAL ENGLISH: АНГЛИЙСКИЙ ЯЗЫК ДЛЯ ЮРИСТОВ</t>
  </si>
  <si>
    <t>Попов Е.Б., Феоктистова Е.М., Халюшева Г.Р.</t>
  </si>
  <si>
    <t>978-5-16-015369-8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</si>
  <si>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40.02.00 «Юриспруденция» (протокол № 6 от 25.03.2019)</t>
  </si>
  <si>
    <t>ДА</t>
  </si>
  <si>
    <t>Московский государственный юридический университет им. О.Е. Кутафина, ф-л Оренбургский институт</t>
  </si>
  <si>
    <t>682803.06.01</t>
  </si>
  <si>
    <t>PR в сфере коммерции: Уч. / Под ред. Синяевой И.М. - М.:НИЦ ИНФРА-М,2025. - 298 с.(п)</t>
  </si>
  <si>
    <t>PR В СФЕРЕ КОММЕРЦИИ</t>
  </si>
  <si>
    <t>Синяева И.М.</t>
  </si>
  <si>
    <t>978-5-16-013867-1</t>
  </si>
  <si>
    <t>ОБЩЕСТВЕННЫЕ НАУКИ.  ЭКОНОМИКА. ПРАВО</t>
  </si>
  <si>
    <t>Бизнес</t>
  </si>
  <si>
    <t>38.02.08, 42.02.01</t>
  </si>
  <si>
    <t>Рекомендовано Учебно-методическим советом СПО в качестве учебника  для учебных заведений, реализующих программу среднего профессионального образования по специальностям 38.02.01 «Коммерция (по отраслям)», 42.02.01 «Реклама»</t>
  </si>
  <si>
    <t>0118</t>
  </si>
  <si>
    <t>682804.08.01</t>
  </si>
  <si>
    <t>PR: методы работы со СМИ: Уч.пос. / Б.Р.Мандель - 2 изд. - М.:Вуз. уч., НИЦ ИНФРА-М,2025 - 238 с.(СПО) (П)</t>
  </si>
  <si>
    <t>PR: МЕТОДЫ РАБОТЫ СО СРЕДСТВАМИ МАССОВОЙ ИНФОРМАЦИИ, ИЗД.2</t>
  </si>
  <si>
    <t>Мандель Б.Р.</t>
  </si>
  <si>
    <t>Вузовский учебник</t>
  </si>
  <si>
    <t>978-5-9558-0615-0</t>
  </si>
  <si>
    <t>42.02.01, 42.02.02</t>
  </si>
  <si>
    <t>Рекомендовано Учебно-методическим советом СПО в качестве учебного пособия для учебных заведений, реализующих программу среднего профессионального образования по специальностям 42.02.01 «Реклама», 42.02.02 «Издательское дело»</t>
  </si>
  <si>
    <t>Сибирский университет потребительской кооперации</t>
  </si>
  <si>
    <t>262800.14.01</t>
  </si>
  <si>
    <t>Professional English: Уч. / Л.М.Фишман - М.:НИЦ ИНФРА-М,2025 - 120 с.(СПО)(О)</t>
  </si>
  <si>
    <t>PROFESSIONAL ENGLISH</t>
  </si>
  <si>
    <t>Фишман Л.М.</t>
  </si>
  <si>
    <t>978-5-16-014340-8</t>
  </si>
  <si>
    <t>09.01.03, 09.02.01, 09.02.02, 09.02.03, 09.02.04, 09.02.05, 09.02.06, 09.02.07, 10.02.01, 10.02.02, 10.02.03, 10.02.04, 10.02.05</t>
  </si>
  <si>
    <t>Допущено Региональным научно-методическим центром при Совете директоров ССУЗ Санкт-Петербурга и Ленинградской области в качестве учебника для студентов образовательных учреждений СПО по укрупненным группам специальностей ФГОС СПО 09.00.00 «Информатика и вычислительная техника», 10.00.00 «Информационная безопасность»</t>
  </si>
  <si>
    <t>Санкт-Петербургский государственный политехнический университет Петра Великого</t>
  </si>
  <si>
    <t>0114</t>
  </si>
  <si>
    <t>682805.04.01</t>
  </si>
  <si>
    <t>Web-аппликации в интернет-маркетинге: проект...: Практ.пос. / Я.С.Винарский - М.:НИЦ ИНФРА-М,2025 - 269 с.(п)</t>
  </si>
  <si>
    <t>WEB-АППЛИКАЦИИ В ИНТЕРНЕТ-МАРКЕТИНГЕ: ПРОЕКТИРОВАНИЕ, СОЗДАНИЕ И ПРИМЕНЕНИЕ</t>
  </si>
  <si>
    <t>Винарский Я.С., Гутгарц Р.Д.</t>
  </si>
  <si>
    <t>978-5-16-014219-7</t>
  </si>
  <si>
    <t>Практическое пособие</t>
  </si>
  <si>
    <t>09.01.03, 09.02.01, 09.02.02, 09.02.03, 09.02.04, 09.02.05</t>
  </si>
  <si>
    <t>Иркутский национальный исследовательский технический университет</t>
  </si>
  <si>
    <t>?2</t>
  </si>
  <si>
    <t>682806.03.01</t>
  </si>
  <si>
    <t>Wirtschaftsdeutsch: Markt...: Уч. / Н.Г.Чернышева - 2изд.-М.:Форум: Инфра-М,2023-359 с -(СПО)(П)</t>
  </si>
  <si>
    <t>WIRTSCHAFTSDEUTSCH: MARKT, UNTERNEHMERSCHAFT, HANDEL = ДЕЛОВОЙ НЕМЕЦКИЙ ЯЗЫК: РЫНОК, ПРЕДПРИНИМАТЕЛЬСТВО, ТОРГОВЛЯ, ИЗД.2</t>
  </si>
  <si>
    <t>Чернышева Н.Г., Лыгина Н.И., Музалевская Р.С.</t>
  </si>
  <si>
    <t>978-5-00091-534-9</t>
  </si>
  <si>
    <t>38.01.02, 38.02.01, 38.02.02, 38.02.03, 38.02.06, 38.02.07, 38.02.08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</si>
  <si>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38.02.02 «Страховое дело (по отраслям)», 38.02.03 «Операционная деятельность в логистике», 38.02.04 «Коммерция (по отраслям)», 38.02.05 «Товароведение и экспертиза качества потребительских товаров», 38.02.06 «Финансы», 38.02.07 «Банковское дело»</t>
  </si>
  <si>
    <t>682807.09.01</t>
  </si>
  <si>
    <t>Автоматизация производ. процессов: Уч.пос. / В.В.Клепиков - М.:НИЦ ИНФРА-М,2026 - 208 с.(СПО)(п)</t>
  </si>
  <si>
    <t>АВТОМАТИЗАЦИЯ ПРОИЗВОДСТВЕННЫХ ПРОЦЕССОВ</t>
  </si>
  <si>
    <t>Клепиков В.В., Султан-заде Н.М., Схиртладзе А.Г.</t>
  </si>
  <si>
    <t>978-5-16-013871-8</t>
  </si>
  <si>
    <t>Энергетика. Промышленность</t>
  </si>
  <si>
    <t>15.02.04, 15.02.07, 15.02.09, 15.02.16, 15.02.18, 18.01.35, 18.02.04, 18.02.05, 18.02.07, 18.02.09, 18.02.10, 18.02.13, 18.02.14, 19.02.11, 19.02.12, 22.02.08, 26.02.02, 35.01.05, 35.01.06, 35.02.18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</si>
  <si>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15.02.07 «Автоматизация технологических процессов и производств (по отраслям)», 15.02.08 «Технология машиностроения», 15.02.09 «Аддитивные технологии»</t>
  </si>
  <si>
    <t>Московский политехнический университет</t>
  </si>
  <si>
    <t>141500.17.01</t>
  </si>
  <si>
    <t>Автоматизация производственных процессов в машиностроении: уч.пос. / Е.Э.Фельдштейн-М.:НИЦ ИНФРА-М,2025.-264 с..-(СПО)(о)</t>
  </si>
  <si>
    <t>АВТОМАТИЗАЦИЯ ПРОИЗВОДСТВЕННЫХ ПРОЦЕССОВ В МАШИНОСТРОЕНИИ</t>
  </si>
  <si>
    <t>Фельдштейн Е.Э., Корниевич М.А.</t>
  </si>
  <si>
    <t>978-5-16-010531-4</t>
  </si>
  <si>
    <t>15.01.26, 15.01.27, 15.01.35, 15.01.36, 15.01.38, 15.02.03, 15.02.04, 15.02.07, 15.02.09, 15.02.10, 15.02.16, 15.02.17, 15.02.18, 18.01.35, 18.02.04, 18.02.05, 18.02.07, 18.02.09, 18.02.10, 18.02.13, 18.02.14, 19.02.11, 19.02.12, 22.02.08, 26.02.02, 35.01.05, 35.01.06, 35.02.18</t>
  </si>
  <si>
    <t>Рекомендовано учреждением образования «Республиканский институт профессионального образования» в качестве пособия для учащихся учреждений, обеспечивающих получение среднего специального образования по специальности «Технология машиностроения». Рекомендовано федеральным государственным учреждением «Федеральный институт развития образования» в качестве учебного пособия для использования в учебном процессе образовательных учреждений, реализующих программы среднего профессионального образования</t>
  </si>
  <si>
    <t>-</t>
  </si>
  <si>
    <t>0111</t>
  </si>
  <si>
    <t>078450.19.01</t>
  </si>
  <si>
    <t>Автоматизация систем водоснабжения и водоотведения: Уч. / А.А.Рульнов - 2 изд. - М.: ИНФРА-М,2026 - 192 с.(СПО)</t>
  </si>
  <si>
    <t>АВТОМАТИЗАЦИЯ СИСТЕМ ВОДОСНАБЖЕНИЯ И ВОДООТВЕДЕНИЯ, ИЗД.2</t>
  </si>
  <si>
    <t>Рульнов А.А.</t>
  </si>
  <si>
    <t>978-5-16-009369-7</t>
  </si>
  <si>
    <t>Строительство</t>
  </si>
  <si>
    <t>08.01.29, 08.02.02, 08.02.04, 08.02.13, 08.02.14, 13.02.02, 18.01.27, 18.01.28, 18.01.35, 18.02.04, 18.02.05, 18.02.07, 18.02.09, 18.02.10, 18.02.13, 18.02.14, 19.01.01, 19.02.11, 19.02.12, 22.02.08, 26.02.02, 35.02.18</t>
  </si>
  <si>
    <t>Допущено Федеральным агентством по строительству и жилищно-коммунальному хозяйству в качестве учебника для студентов средних специальных учебных заведений, обучающихся по специальности 08.02.04 «Водоснабжение и водоотведение»</t>
  </si>
  <si>
    <t>Национальный исследовательский Московский государственный строительный университет</t>
  </si>
  <si>
    <t>0214</t>
  </si>
  <si>
    <t>682808.07.01</t>
  </si>
  <si>
    <t>Автоматизация техн.процессов и произв.: Уч.пос. / А.А.Иванов - 2 изд. - М.:Форум,НИЦ ИНФРА-М,2025 - 224 с.(СПО)</t>
  </si>
  <si>
    <t>АВТОМАТИЗАЦИЯ ТЕХНОЛОГИЧЕСКИХ ПРОЦЕССОВ И ПРОИЗВОДСТВ, ИЗД.2</t>
  </si>
  <si>
    <t>Иванов А.А.</t>
  </si>
  <si>
    <t>978-5-00091-535-6</t>
  </si>
  <si>
    <t>08.02.03, 13.02.01, 15.02.03, 15.02.09, 15.02.16, 15.02.17, 15.02.18, 18.01.35, 18.02.04, 18.02.05, 18.02.07, 18.02.09, 18.02.10, 18.02.13, 18.02.14, 19.02.11, 19.02.12, 22.02.08, 26.02.02, 26.02.04, 35.01.05, 35.01.06, 35.02.18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</si>
  <si>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15.02.07 «Автоматизация технологических процессов и производств (по отраслям)», 15.02.08 «Технология машиностроения»</t>
  </si>
  <si>
    <t>Нижегородский государственный технический университет им. Р.А. Алексеева</t>
  </si>
  <si>
    <t>682809.14.01</t>
  </si>
  <si>
    <t>Автоматизация технологич. процес. и производ..: Уч.пос. / В.М.Виноградов - М.:Форум, НИЦ ИНФРА-М,2026 -161с(П)</t>
  </si>
  <si>
    <t>АВТОМАТИЗАЦИЯ ТЕХНОЛОГИЧЕСКИХ ПРОЦЕССОВ И ПРОИЗВОДСТВ. ВВЕДЕНИЕ В СПЕЦИАЛЬНОСТЬ</t>
  </si>
  <si>
    <t>Виноградов В.М., Черепахин А.А.</t>
  </si>
  <si>
    <t>978-5-00091-536-3</t>
  </si>
  <si>
    <t>15.02.03, 15.02.07, 15.02.16, 15.02.17, 15.02.18, 18.01.35, 18.02.04, 18.02.05, 18.02.07, 18.02.09, 18.02.10, 18.02.13, 18.02.14, 19.02.11, 19.02.12, 22.02.08, 26.02.02, 35.01.05, 35.01.06, 35.02.18</t>
  </si>
  <si>
    <t>Рекомендовано Учебно-методическим советом СПО в качестве учебного пособия для учебных заведений, реализующих программу среднего профессионального образования по специальностям 15.02.07 «Автоматизация технологических процессов и производств (по отраслям)», 15.02.08 «Технология машиностроения»</t>
  </si>
  <si>
    <t>ПО2</t>
  </si>
  <si>
    <t>682810.08.01</t>
  </si>
  <si>
    <t>Автоматизированные сборочные системы: Уч. / А.А.Иванов - М.:Форум,НИЦ ИНФРА-М,2026 - 336 с.(СПО)(П)</t>
  </si>
  <si>
    <t>АВТОМАТИЗИРОВАННЫЕ СБОРОЧНЫЕ СИСТЕМЫ</t>
  </si>
  <si>
    <t>978-5-00091-537-0</t>
  </si>
  <si>
    <t>15.01.35, 15.01.37, 15.02.03, 15.02.04, 15.02.16, 15.02.17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</si>
  <si>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15.02.07 «Автоматизация технологических процессов и производств (по отраслям)», 15.02.08 «Технология машиностроения»</t>
  </si>
  <si>
    <t>684160.07.01</t>
  </si>
  <si>
    <t>Автоматизированные сис. управ. и связь...: Уч.пос. / А.И.Братко - М.:НИЦ ИНФРА-М,2026 - 329 с.(П)</t>
  </si>
  <si>
    <t>АВТОМАТИЗИРОВАННЫЕ СИСТЕМЫ УПРАВЛЕНИЯ И СВЯЗЬ: ОСНОВЫ ЭЛЕКТРОСВЯЗИ</t>
  </si>
  <si>
    <t>Братко А.И.</t>
  </si>
  <si>
    <t>978-5-16-014957-8</t>
  </si>
  <si>
    <t>Автоматика. Радиоэлектроника. Связь</t>
  </si>
  <si>
    <t>08.02.09, 11.02.06, 11.02.09, 11.02.11, 11.02.15, 11.02.18, 13.02.13, 20.02.02, 20.02.04, 20.02.05, 27.02.05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</si>
  <si>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20.02.02 «Защита в чрезвычайных ситуациях» и 20.02.04 «Пожарная безопасность» (протокол № 8 от 22.06.2020)</t>
  </si>
  <si>
    <t>Новочеркасский колледж промышленных технологий и управления</t>
  </si>
  <si>
    <t>0121</t>
  </si>
  <si>
    <t>071150.22.01</t>
  </si>
  <si>
    <t>Автоматика и телемеханика сис. газоснабжения: Уч. / В.А.Жила, - 2 изд. - М.:НИЦ ИНФРА-М,2026. - 232 с.(СПО)(п)</t>
  </si>
  <si>
    <t>АВТОМАТИКА И ТЕЛЕМЕХАНИКА СИСТЕМ ГАЗОСНАБЖЕНИЯ, ИЗД.2</t>
  </si>
  <si>
    <t>Жила В.А.</t>
  </si>
  <si>
    <t>978-5-16-018193-6</t>
  </si>
  <si>
    <t>08.02.02, 08.02.08</t>
  </si>
  <si>
    <t>Допущено Государственным комитетом Российской Федерации по строительству и жилищно-коммунальному комплексу в качестве учебника для студентов средних специальных учебных заведений, обучающихся по специальности «Монтаж и эксплуатация оборудования и систем газоснабжения»</t>
  </si>
  <si>
    <t>0225</t>
  </si>
  <si>
    <t>СПО-2023, Победитель, I место</t>
  </si>
  <si>
    <t>071150.20.01</t>
  </si>
  <si>
    <t>Автоматика и телемеханика систем газоснабжения: Уч. / В.А.Жила - М.:НИЦ ИНФРА-М,2023-238 с.(СПО)(П)</t>
  </si>
  <si>
    <t>АВТОМАТИКА И ТЕЛЕМЕХАНИКА СИСТЕМ ГАЗОСНАБЖЕНИЯ</t>
  </si>
  <si>
    <t>978-5-16-006864-0</t>
  </si>
  <si>
    <t>0106</t>
  </si>
  <si>
    <t>682811.08.01</t>
  </si>
  <si>
    <t>Автоматические системы транспортных средств: Уч. / В.В.Беляков - М.:Форум,НИЦ ИНФРА-М,2026 - 352 с.(СПО)(П)</t>
  </si>
  <si>
    <t>АВТОМАТИЧЕСКИЕ СИСТЕМЫ ТРАНСПОРТНЫХ СРЕДСТВ</t>
  </si>
  <si>
    <t>Беляков В.В., Зезюлин Д.В., Макаров В.С. и др.</t>
  </si>
  <si>
    <t>978-5-00091-571-4</t>
  </si>
  <si>
    <t>Транспорт</t>
  </si>
  <si>
    <t>23.01.03, 23.01.17, 23.02.02, 23.02.03, 23.02.04, 23.02.05, 23.02.07, 43.02.06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</si>
  <si>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23.02.02 «Автомобиле- и тракторостроение», 23.02.03 «Техническое обслуживание и ремонт автомобильного транспорта», 23.02.05 «Эксплуатация транспортного электрооборудования и автоматики (по видам транспорта, за исключением водного)»</t>
  </si>
  <si>
    <t>064840.20.01</t>
  </si>
  <si>
    <t>Автоматическое регулирование: Уч. / А.А.Рульнов - 2 изд. - М.:НИЦ ИНФРА-М,2026 - 219 с.-(СПО)(П</t>
  </si>
  <si>
    <t>АВТОМАТИЧЕСКОЕ РЕГУЛИРОВАНИЕ, ИЗД.2</t>
  </si>
  <si>
    <t>Рульнов А.А., Горюнов И.И., Евстафьев К.Ю.</t>
  </si>
  <si>
    <t>978-5-16-006216-7</t>
  </si>
  <si>
    <t>08.02.02, 08.02.13</t>
  </si>
  <si>
    <t>Допущено Государственным комитетом Российской Федерации по строительству и жилищно-коммунальному комплексу в качестве учебника для студентов средних специальных учебных заведений, обучающихся по специальности 08.02.07 «Монтаж и эксплуатация внутренних сантехнических устройств, кондиционирования воздуха и вентиляции»</t>
  </si>
  <si>
    <t>0213</t>
  </si>
  <si>
    <t>170050.11.01</t>
  </si>
  <si>
    <t>Автоматическое управление. Курс лекций с решен..: Уч. пос./Н.П.Молоканова - М.: Форум, 2026 - 224 с.(п)</t>
  </si>
  <si>
    <t>АВТОМАТИЧЕСКОЕ УПРАВЛЕНИЕ. КУРС ЛЕКЦИЙ С РЕШЕНИЕМ ЗАДАЧ И ЛАБОРАТОРНЫХ РАБОТ</t>
  </si>
  <si>
    <t>Молоканова Н. П.</t>
  </si>
  <si>
    <t>978-5-91134-593-8</t>
  </si>
  <si>
    <t>27.02.04</t>
  </si>
  <si>
    <t>Среднерусский гуманитарно-технологический институт</t>
  </si>
  <si>
    <t>0112</t>
  </si>
  <si>
    <t>049950.17.01</t>
  </si>
  <si>
    <t>Автоматическое управление: Уч. / М.В.Гальперин - М.:НИЦ ИНФРА-М,2025 - 224 с.(СПО)(П)</t>
  </si>
  <si>
    <t>АВТОМАТИЧЕСКОЕ УПРАВЛЕНИЕ</t>
  </si>
  <si>
    <t>Гальперин М. В.</t>
  </si>
  <si>
    <t>978-5-16-016930-9</t>
  </si>
  <si>
    <t>12.01.07, 12.02.01, 12.02.02, 12.02.03, 12.02.04, 12.02.05, 12.02.06, 12.02.07, 13.01.07, 14.02.01, 15.02.10, 15.02.18, 18.01.28, 18.01.35, 18.02.04, 18.02.05, 18.02.07, 18.02.09, 18.02.10, 18.02.13, 18.02.14, 19.01.01, 19.02.11, 19.02.12, 22.02.08, 26.02.02, 27.02.03, 27.02.04, 35.02.08, 35.02.18</t>
  </si>
  <si>
    <t>Допущено Министерством образования Российской Федерации в качестве учебника для студентов образовательных учреждений среднего профессионального образования, обучающихся по группам специальностей «Приборостроение», «Электроника и микроэлектроника, радиотехника и телекоммуникации», «Автоматизация и управление», «Информатика и вычислительная техника»</t>
  </si>
  <si>
    <t>Московский техникум креативных индустрий им. Л.Б. Красина</t>
  </si>
  <si>
    <t>0104</t>
  </si>
  <si>
    <t>130850.16.01</t>
  </si>
  <si>
    <t>Автоматическое управление: Уч.пос. / А.М.Петрова - М.:Форум,НИЦ ИНФРА-М,2025 - 240 с.(СПО)(п)</t>
  </si>
  <si>
    <t>Петрова А.М.</t>
  </si>
  <si>
    <t>978-5-00091-467-0</t>
  </si>
  <si>
    <t>13.01.07, 13.02.01, 13.02.02, 13.02.04, 13.02.05, 13.02.07, 13.02.08, 13.02.09, 13.02.12, 13.02.13, 15.01.18, 15.01.26, 15.01.27, 15.01.35, 15.01.36, 15.01.37, 15.01.38, 15.02.01, 15.02.03, 15.02.04, 15.02.06, 15.02.07, 15.02.09, 15.02.10, 15.02.16, 15.02.17, 15.02.18, 18.01.28, 18.01.35, 18.02.04, 18.02.05, 18.02.07, 18.02.09, 18.02.10, 18.02.13, 18.02.14, 19.01.01, 19.02.11, 19.02.12, 22.02.08, 26.02.02, 27.02.01, 27.02.02, 27.02.03, 27.02.04, 27.02.05, 35.02.18</t>
  </si>
  <si>
    <t>Рекомендовано Учебно-методическим советом Учебно-методического центра по профессиональному образованию Департамента образования города Москвы в качестве учебного пособия для студентов образовательных учреждений среднего профессионального образования</t>
  </si>
  <si>
    <t>Московский гуманитарный университет</t>
  </si>
  <si>
    <t>0110</t>
  </si>
  <si>
    <t>400400.11.01</t>
  </si>
  <si>
    <t>Автомобили: конструкция, теория и расчет: Уч.пос. /Е.В.Березина -М:М,НИЦ ИНФРА-М,2024-320с(п)</t>
  </si>
  <si>
    <t>АВТОМОБИЛИ: КОНСТРУКЦИЯ, ТЕОРИЯ И РАСЧЕТ</t>
  </si>
  <si>
    <t>Березина Е.В.</t>
  </si>
  <si>
    <t>978-5-16-018271-1</t>
  </si>
  <si>
    <t>23.02.03, 35.01.01</t>
  </si>
  <si>
    <t>Рекомендовано федеральным государственным учреждением «Федеральный институт развития образования» (ФГУ «ФИРО») в качестве учебного пособия для использования в учебном процессе образовательных учреждений, реализующих программы среднего профессионального образования по специальности 23.02.03 «Техническое обслуживание и ремонт автомобильного транспорта»</t>
  </si>
  <si>
    <t>682812.10.01</t>
  </si>
  <si>
    <t>Автомобили: Уч. / Под ред. Богатырева А.В. - 3 изд. - М.:НИЦ ИНФРА-М,2026 - 655 с.(П)</t>
  </si>
  <si>
    <t>АВТОМОБИЛИ, ИЗД.3</t>
  </si>
  <si>
    <t>Богатырев А.В., Есеновский-Лашков Ю.К., Насоновский М.Л. и др.</t>
  </si>
  <si>
    <t>978-5-16-013875-6</t>
  </si>
  <si>
    <t>23.01.17, 23.02.02, 23.02.03, 23.02.07, 35.01.01, 35.01.27, 35.01.30, 35.02.05, 35.02.07, 35.02.16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</si>
  <si>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23.02.02 «Автомобиле- и тракторостроение», 23.02.03 «Техническое обслуживание и ремонт автомобильного транспорта», 35.02.07 «Механизация сельского хозяйства»</t>
  </si>
  <si>
    <t>Российский государственный аграрный университет - МСХА им. К.А. Тимирязева</t>
  </si>
  <si>
    <t>0318</t>
  </si>
  <si>
    <t>087000.17.01</t>
  </si>
  <si>
    <t>Автомобильные перевозки: Уч.пос. / И.С.Туревский - М.:ИД ФОРУМ, НИЦ ИНФРА-М,2025 - 223 с.(СПО)(П)</t>
  </si>
  <si>
    <t>АВТОМОБИЛЬНЫЕ ПЕРЕВОЗКИ</t>
  </si>
  <si>
    <t>Туревский И.С.</t>
  </si>
  <si>
    <t>ИД Форум</t>
  </si>
  <si>
    <t>978-5-8199-0866-2</t>
  </si>
  <si>
    <t>23.02.01, 43.02.06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</si>
  <si>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23.02.00 «Техника и технологии наземного транспорта»</t>
  </si>
  <si>
    <t>Автомобильный, правовой техникум Воронежской области</t>
  </si>
  <si>
    <t>0108</t>
  </si>
  <si>
    <t>037100.26.01</t>
  </si>
  <si>
    <t>Автомобильные эксплуатац. матер. Лаборатор. прак.: Уч.пос. / В.А.Стуканов, - 2 изд. - М.:НИЦ ИНФРА-М,2026. - 304 с.(п)</t>
  </si>
  <si>
    <t>АВТОМОБИЛЬНЫЕ ЭКСПЛУАТАЦИОННЫЕ МАТЕРИАЛЫ. ЛАБОРАТОРНЫЙ ПРАКТИКУМ, ИЗД.2</t>
  </si>
  <si>
    <t>Стуканов В. А.</t>
  </si>
  <si>
    <t>978-5-16-021418-4</t>
  </si>
  <si>
    <t>15.02.04, 23.01.03, 23.01.17, 23.02.01, 23.02.02, 23.02.03, 23.02.04, 23.02.05, 23.02.07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</si>
  <si>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специальностям «Техническое обслуживание и ремонт автомобильного транспорта» и «Механизация сельского хозяйства»</t>
  </si>
  <si>
    <t>Научно-Исследовательский Институт сельского хозяйства центрально-черноземной полосы имени В.В.Докуча</t>
  </si>
  <si>
    <t>0209</t>
  </si>
  <si>
    <t>682813.06.01</t>
  </si>
  <si>
    <t>Агробиологические основы производства, хранения..: Уч.пос. / Баздырев Г.И. - М.:НИЦ ИНФРА-М,2026 - 725 с.(п)</t>
  </si>
  <si>
    <t>АГРОБИОЛОГИЧЕСКИЕ ОСНОВЫ ПРОИЗВОДСТВА, ХРАНЕНИЯ И ПЕРЕРАБОТКИ ПРОДУКЦИИ РАСТЕНИЕВОДСТВА</t>
  </si>
  <si>
    <t>Баздырев Г.И., Сафонов А.Ф., Андреев Ю.М. и др.</t>
  </si>
  <si>
    <t>978-5-16-013876-3</t>
  </si>
  <si>
    <t>Сельское хозяйство</t>
  </si>
  <si>
    <t>19.01.01, 35.01.23, 35.01.26, 35.02.05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</si>
  <si>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35.02.05 «Агрономия», 35.02.06 «Технология производства и переработки сельскохозяйственной продукции»</t>
  </si>
  <si>
    <t>682791.05.01</t>
  </si>
  <si>
    <t>Агрометеорология: Уч. / Л.Л.Журина - 3 изд. - М.:НИЦ ИНФРА-М,2025 - 350 с.(СПО)(П)</t>
  </si>
  <si>
    <t>АГРОМЕТЕОРОЛОГИЯ, ИЗД.3</t>
  </si>
  <si>
    <t>Журина Л.Л.</t>
  </si>
  <si>
    <t>978-5-16-013877-0</t>
  </si>
  <si>
    <t>05.02.03, 19.02.11, 19.02.12, 20.02.01, 35.01.26, 35.01.27, 35.02.01, 35.02.05, 35.02.07, 35.02.16, 43.01.11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</si>
  <si>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35.02.05 «Агрономия», 35.02.06 «Технология производства и переработки сельскохозяйственной продукции»</t>
  </si>
  <si>
    <t>Санкт-Петербургский государственный аграрный университет</t>
  </si>
  <si>
    <t>0319</t>
  </si>
  <si>
    <t>682814.08.01</t>
  </si>
  <si>
    <t>Агрохимия: Уч.пос. / В.В.Кидин - М.:НИЦ ИНФРА-М,2026 - 351 с.(СПО)(П)</t>
  </si>
  <si>
    <t>АГРОХИМИЯ</t>
  </si>
  <si>
    <t>Кидин В.В.</t>
  </si>
  <si>
    <t>978-5-16-014937-0</t>
  </si>
  <si>
    <t>19.02.11, 19.02.12, 20.02.01, 35.01.26, 35.01.27, 35.02.01, 35.02.05, 35.02.07, 35.02.12, 35.02.16, 43.01.11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</si>
  <si>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35.02.05 «Агрономия»</t>
  </si>
  <si>
    <t>682815.06.01</t>
  </si>
  <si>
    <t>Аддиктология. Теоретические и эксперимент...: Уч.пос. / Е.И.Николаева-М.:ИНФРА-М,2024-209 с.(СПО)(п)</t>
  </si>
  <si>
    <t>АДДИКТОЛОГИЯ. ТЕОРЕТИЧЕСКИЕ И ЭКСПЕРИМЕНТАЛЬНЫЕ ИССЛЕДОВАНИЯ ФОРМИРОВАНИЯ АДДИКЦИИ</t>
  </si>
  <si>
    <t>Николаева Е.И., Каменская В.Г.</t>
  </si>
  <si>
    <t>978-5-16-017022-0</t>
  </si>
  <si>
    <t>Психология</t>
  </si>
  <si>
    <t>40.02.02, 44.02.02, 44.02.04, 44.02.05, 44.02.06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</si>
  <si>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44.02.01 «Дошкольное образование», 44.02.02 «Преподавание в начальных классах», 44.02.03 «Педагогика дополнительного образования», 44.02.04 «Специальное дошкольное образование», 44.02.05 «Коррекционная педагогика в начальном образовании»</t>
  </si>
  <si>
    <t>Российский государственный педагогический университет им. А.И. Герцена</t>
  </si>
  <si>
    <t>769208.02.01</t>
  </si>
  <si>
    <t>Административная деят. орг. внутр. дел: Уч. / Под ред. Костенникова М.В.- М.:НИЦ ИНФРА-М,2025. - 376 с.(СПО)(п)</t>
  </si>
  <si>
    <t>АДМИНИСТРАТИВНАЯ ДЕЯТЕЛЬНОСТЬ ОРГАНОВ ВНУТРЕННИХ ДЕЛ</t>
  </si>
  <si>
    <t>Адмиралова И.А., Алимова Е.Н., Василенко Г.Н. и др.</t>
  </si>
  <si>
    <t>978-5-16-017355-9</t>
  </si>
  <si>
    <t>Право. Юридические науки</t>
  </si>
  <si>
    <t>Всероссийский институт повышения квалификации сотрудников Министерства внутренних дел Российской Федерации</t>
  </si>
  <si>
    <t>0124</t>
  </si>
  <si>
    <t>683246.06.01</t>
  </si>
  <si>
    <t>Административное право и админ. ответ.: Уч. пос. / Б.В.Россинский - 2 изд.-М.:Юр.Норма, НИЦ ИНФРА-М,2025-352 с.(П)</t>
  </si>
  <si>
    <t>АДМИНИСТРАТИВНОЕ ПРАВО И АДМИНИСТРАТИВНАЯ ОТВЕТСТВЕННОСТЬ, ИЗД.2</t>
  </si>
  <si>
    <t>Россинский Б.В.</t>
  </si>
  <si>
    <t>Юр. НОРМА</t>
  </si>
  <si>
    <t>978-5-00156-306-8</t>
  </si>
  <si>
    <t>Московский государственный юридический университет им. О.Е. Кутафина</t>
  </si>
  <si>
    <t>0223</t>
  </si>
  <si>
    <t>683246.07.01</t>
  </si>
  <si>
    <t>Административное право и админ. ответ.: Уч. пос. / Б.В.Россинский - 3 изд. - М.:Юр.Норма, НИЦ ИНФРА-М,2025 - 376 с.(П)</t>
  </si>
  <si>
    <t>АДМИНИСТРАТИВНОЕ ПРАВО И АДМИНИСТРАТИВНАЯ ОТВЕТСТВЕННОСТЬ, ИЗД.3</t>
  </si>
  <si>
    <t>978-5-00156-396-9</t>
  </si>
  <si>
    <t>Октябрь, 2024</t>
  </si>
  <si>
    <t>0325</t>
  </si>
  <si>
    <t>683246.03.01</t>
  </si>
  <si>
    <t>Административное право и административная ответственность. Уч.пос.: уч.пос. / Б.В.Россинский-М.:Юр.Норма, НИЦ ИНФРА-М,2021.-352 с..-(Среднее п</t>
  </si>
  <si>
    <t>АДМИНИСТРАТИВНОЕ ПРАВО И АДМИНИСТРАТИВНАЯ ОТВЕТСТВЕННОСТЬ</t>
  </si>
  <si>
    <t>978-5-91768-927-2</t>
  </si>
  <si>
    <t>757760.03.01</t>
  </si>
  <si>
    <t>Административное право. Практикум: Уч.пос. / С.Н.Зайкова - М.:НИЦ ИНФРА-М,2025 - 181 с.-(СПО)(П)</t>
  </si>
  <si>
    <t>АДМИНИСТРАТИВНОЕ ПРАВО. ПРАКТИКУМ</t>
  </si>
  <si>
    <t>Зайкова С.Н.</t>
  </si>
  <si>
    <t>978-5-16-016909-5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</si>
  <si>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юридическим специальностям (протокол № 12 от 14.12.2020)</t>
  </si>
  <si>
    <t>Саратовская государственная юридическая академия</t>
  </si>
  <si>
    <t>078380.21.01</t>
  </si>
  <si>
    <t>Административное право: Уч. / А.Н.Миронов - 3 изд. - М.:ИД ФОРУМ, НИЦ ИНФРА-М,2022 - 320 с.(П)</t>
  </si>
  <si>
    <t>АДМИНИСТРАТИВНОЕ ПРАВО, ИЗД.3</t>
  </si>
  <si>
    <t>Миронов А.Н.</t>
  </si>
  <si>
    <t>978-5-8199-0726-9</t>
  </si>
  <si>
    <t>26.02.02, 40.02.02, 40.02.04</t>
  </si>
  <si>
    <t>Российская академия народного хозяйства и государственной службы при Президенте РФ</t>
  </si>
  <si>
    <t>0314</t>
  </si>
  <si>
    <t>078380.27.01</t>
  </si>
  <si>
    <t>Административное право: Уч. / А.Н.Миронов - 4 изд. - М.:НИЦ ИНФРА-М,2026 - 333 с.(СПО)(п)</t>
  </si>
  <si>
    <t>АДМИНИСТРАТИВНОЕ ПРАВО, ИЗД.4</t>
  </si>
  <si>
    <t>978-5-16-016327-7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</si>
  <si>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юридическим специальностям (протокол № 11 от 09.11.2020)</t>
  </si>
  <si>
    <t>0421</t>
  </si>
  <si>
    <t>690226.04.01</t>
  </si>
  <si>
    <t>Административное право: Уч.пос. / Т.И.Губарева - М.:НИЦ ИНФРА-М,2024 - 481 с.(СПО)(П)</t>
  </si>
  <si>
    <t>АДМИНИСТРАТИВНОЕ ПРАВО</t>
  </si>
  <si>
    <t>Губарева Т.И., Трусов А.И.</t>
  </si>
  <si>
    <t>978-5-16-014475-7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</si>
  <si>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юридическим специальностям  (протокол № 4 от 21.04.2021)</t>
  </si>
  <si>
    <t>Краснодарский университет  Министерства внутренних дел Российской Федерации, Ставропольский ф-л</t>
  </si>
  <si>
    <t>СПО-2018, Победитель</t>
  </si>
  <si>
    <t>128250.16.01</t>
  </si>
  <si>
    <t>Административно-процессуальное право: Уч.пос. / А.Н.Миронов - 2 изд. - М.:Форум, НИЦ ИНФРА-М,2026 - 169 с.(П)</t>
  </si>
  <si>
    <t>АДМИНИСТРАТИВНО-ПРОЦЕССУАЛЬНОЕ ПРАВО, ИЗД.2</t>
  </si>
  <si>
    <t>978-5-00091-478-6</t>
  </si>
  <si>
    <t>682816.06.01</t>
  </si>
  <si>
    <t>Акушерство, гинекология и биотехника воспроизвод. жив.: Уч.пос. / Г.Д.Некрасов-М.:Форум, НИЦ ИНФРА-М,2025.-174 с.(П)</t>
  </si>
  <si>
    <t>АКУШЕРСТВО, ГИНЕКОЛОГИЯ И БИОТЕХНИКА ВОСПРОИЗВОДСТВА ЖИВОТНЫХ</t>
  </si>
  <si>
    <t>Некрасов Г.Д., Суманова И.А.</t>
  </si>
  <si>
    <t>978-5-00091-538-7</t>
  </si>
  <si>
    <t>35.01.01, 35.01.23, 35.02.09, 36.01.01, 36.01.02, 36.01.03, 36.02.01, 36.02.03</t>
  </si>
  <si>
    <t>Допущено Учебно-методическим объединением вузов РФ по аграрному образованию в качестве учебного пособия для студентов, обучающихся по специальности 110305 - "Технология производства и переработки сельскохозяйственной продукции"</t>
  </si>
  <si>
    <t>Алтайский государственный аграрный университет</t>
  </si>
  <si>
    <t>090850.16.01</t>
  </si>
  <si>
    <t>Алгоритмизация и программирование: Уч.пос. / С.А.Канцедал - М.:ИД ФОРУМ, НИЦ ИНФРА-М,2026 - 352 с.(СПО)(П)</t>
  </si>
  <si>
    <t>АЛГОРИТМИЗАЦИЯ И ПРОГРАММИРОВАНИЕ</t>
  </si>
  <si>
    <t>Канцедал С.А.</t>
  </si>
  <si>
    <t>978-5-8199-0727-6</t>
  </si>
  <si>
    <t>08.02.15, 09.02.01, 09.02.02, 09.02.03, 09.02.04, 09.02.05, 09.02.06, 09.02.07, 09.02.08, 09.02.09, 10.02.02, 10.02.03, 10.02.04, 10.02.05, 27.02.01, 55.02.01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</si>
  <si>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«Информатика и вычислительная техника»</t>
  </si>
  <si>
    <t>839050.01.01</t>
  </si>
  <si>
    <t>Альтернативные источники энергии: уч.пос. / Ю.Д.Сибикин, - 2-е изд., стер.-М.:НИЦ ИНФРА-М,2025.-247 с..-(СПО)(п)</t>
  </si>
  <si>
    <t>АЛЬТЕРНАТИВНЫЕ ИСТОЧНИКИ ЭНЕРГИИ, ИЗД.2</t>
  </si>
  <si>
    <t>Сибикин Ю.Д., Сибикин М.Ю.</t>
  </si>
  <si>
    <t>978-5-16-020240-2</t>
  </si>
  <si>
    <t>13.02.13</t>
  </si>
  <si>
    <t>674909.09.01</t>
  </si>
  <si>
    <t>Анализ  финансово-хоз.  деятельности: Уч. / А.М.Фридман - М.:ИЦ РИОР, НИЦ ИНФРА-М,2025. - 264 с.(СПО)(П)</t>
  </si>
  <si>
    <t>АНАЛИЗ  ФИНАНСОВО-ХОЗЯЙСТВЕННОЙ  ДЕЯТЕЛЬНОСТИ</t>
  </si>
  <si>
    <t>Фридман А.М.</t>
  </si>
  <si>
    <t>978-5-369-01791-3</t>
  </si>
  <si>
    <t>Экономика. Бухгалтерский учет. Финансы</t>
  </si>
  <si>
    <t>38.02.01, 38.02.03, 38.02.06, 38.02.07, 38.02.08</t>
  </si>
  <si>
    <t>Российский университет кооперации</t>
  </si>
  <si>
    <t>719423.08.01</t>
  </si>
  <si>
    <t>Анализ и диагностика финан.-хоз. деят. предпр.: Уч. / А.Д.Шеремет, - 2 изд. - М.:НИЦ ИНФРА-М,2026 - 374 с.(СПО)(П)</t>
  </si>
  <si>
    <t>АНАЛИЗ И ДИАГНОСТИКА ФИНАНСОВО-ХОЗЯЙСТВЕННОЙ ДЕЯТЕЛЬНОСТИ ПРЕДПРИЯТИЯ, ИЗД.2</t>
  </si>
  <si>
    <t>Шеремет А.Д.</t>
  </si>
  <si>
    <t>978-5-16-015634-7</t>
  </si>
  <si>
    <t>38.02.01, 38.02.03, 38.02.06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</si>
  <si>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12 от 26.06.2019)</t>
  </si>
  <si>
    <t>Московский государственный университет им. М.В. Ломоносова, экономический факультет</t>
  </si>
  <si>
    <t>0220</t>
  </si>
  <si>
    <t>044200.17.01</t>
  </si>
  <si>
    <t>Анализ произ.-фин. деят. сельскохоз. предпр.: Уч. / Г.В.Савицкая - 4 изд. - М.:НИЦ ИНФРА-М,2025. - 287 с.(СПО)(п)</t>
  </si>
  <si>
    <t>АНАЛИЗ ПРОИЗВОДСТВЕННО-ФИНАНСОВОЙ ДЕЯТЕЛЬНОСТИ СЕЛЬСКОХОЗЯЙСТВЕННЫХ ПРЕДПРИЯТИЙ, ИЗД.4</t>
  </si>
  <si>
    <t>Савицкая Г.В.</t>
  </si>
  <si>
    <t>978-5-16-020110-8</t>
  </si>
  <si>
    <t>19.02.11, 19.02.12, 35.01.27, 35.02.05, 35.02.07, 35.02.16, 38.02.01, 38.02.06, 38.02.08</t>
  </si>
  <si>
    <t>Апрель, 2025</t>
  </si>
  <si>
    <t>0425</t>
  </si>
  <si>
    <t>044200.16.01</t>
  </si>
  <si>
    <t>Анализ произв.-фин. деят. сельск. хоз. предпр.: Уч. / Г.В. Савицкая - 3 изд.-ИНФРА-М,2024-368с.(СПО)</t>
  </si>
  <si>
    <t>АНАЛИЗ ПРОИЗВОДСТВЕННО-ФИНАНСОВОЙ ДЕЯТЕЛЬНОСТИ СЕЛЬСКОХОЗЯЙСТВЕННЫХ ПРЕДПРИЯТИЙ, ИЗД.3</t>
  </si>
  <si>
    <t>Савицкая Г. В.</t>
  </si>
  <si>
    <t>978-5-16-004282-4</t>
  </si>
  <si>
    <t>Рекомендовано Учебно-методическим советом по среднему профессиональному образованию в качестве учебника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</t>
  </si>
  <si>
    <t>0307</t>
  </si>
  <si>
    <t>711168.05.01</t>
  </si>
  <si>
    <t>Анализ производственно-хоз. деят.и строительных орг.: Уч. / В.М.Серов - М.:НИЦ ИНФРА-М,2025 - 302с(П)</t>
  </si>
  <si>
    <t>АНАЛИЗ ПРОИЗВОДСТВЕННО-ХОЗЯЙСТВЕННОЙ ДЕЯТЕЛЬНОСТИ СТРОИТЕЛЬНЫХ ОРГАНИЗАЦИЙ</t>
  </si>
  <si>
    <t>Серов В.М.</t>
  </si>
  <si>
    <t>978-5-16-015322-3</t>
  </si>
  <si>
    <t>38.02.01, 38.02.02, 38.02.03, 38.02.06, 38.02.07, 38.02.08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</si>
  <si>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08.02.01 «Строительство и эксплуатация зданий и сооружений» (протокол № 5 от 11.03.2019)</t>
  </si>
  <si>
    <t>Государственный университет управления</t>
  </si>
  <si>
    <t>682818.06.01</t>
  </si>
  <si>
    <t>Анализ финансово-хоз. деят. коммерч. орг.: Уч.пос. / И.В.Кобелева - М.:НИЦ ИНФРА-М,2026 - 256 с.(п)</t>
  </si>
  <si>
    <t>АНАЛИЗ ФИНАНСОВО-ХОЗЯЙСТВЕННОЙ ДЕЯТЕЛЬНОСТИ КОММЕРЧЕСКИХ ОРГАНИЗАЦИЙ</t>
  </si>
  <si>
    <t>Кобелева И.В., Ивашина Н.С.</t>
  </si>
  <si>
    <t>978-5-16-013880-0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</si>
  <si>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38.02.04 «Коммерция (по отраслям)»</t>
  </si>
  <si>
    <t>Международный инновационный университет</t>
  </si>
  <si>
    <t>730651.06.01</t>
  </si>
  <si>
    <t>Анализ финансово-хоз. деят. Практ.: Уч.пос. / А.М.Фридман - М.:ИЦ РИОР, НИЦ ИНФРА-М,2025. - 204 с.(СПО)(П)</t>
  </si>
  <si>
    <t>АНАЛИЗ ФИНАНСОВО-ХОЗЯЙСТВЕННОЙ ДЕЯТЕЛЬНОСТИ. ПРАКТИКУМ</t>
  </si>
  <si>
    <t>978-5-369-01860-6</t>
  </si>
  <si>
    <t>083000.17.01</t>
  </si>
  <si>
    <t>Анализ финансово-хоз. деят. Практ.: Уч.пос. / О.В.Губина, - 3 изд. - М.:НИЦ ИНФРА-М,2025. - 198 с.(П)</t>
  </si>
  <si>
    <t>АНАЛИЗ ФИНАНСОВО-ХОЗЯЙСТВЕННОЙ ДЕЯТЕЛЬНОСТИ. ПРАКТИКУМ, ИЗД.3</t>
  </si>
  <si>
    <t>Губина О.В., Губин В.Е.</t>
  </si>
  <si>
    <t>978-5-16-016858-6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</si>
  <si>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38.02.04 «Коммерция (по отраслям)», 38.02.07 «Банковское дело» (протокол № 2 от 09.02.2022)</t>
  </si>
  <si>
    <t>Российская академия народного хозяйства и государственной службы при Президенте РФ, ф-л Среднерусский институт управления</t>
  </si>
  <si>
    <t>0321</t>
  </si>
  <si>
    <t>079690.18.01</t>
  </si>
  <si>
    <t>Анализ финансово-хоз. деят. предпр.: Уч.пос. / М.В.Мельник, - 3 изд. - М.:НИЦ ИНФРА-М,2026. - 208 с.(СПО)(п)</t>
  </si>
  <si>
    <t>АНАЛИЗ ФИНАНСОВО-ХОЗЯЙСТВЕННОЙ ДЕЯТЕЛЬНОСТИ ПРЕДПРИЯТИЯ, ИЗД.3</t>
  </si>
  <si>
    <t>Мельник М.В., Герасимова Е.Б.</t>
  </si>
  <si>
    <t>978-5-16-021155-8</t>
  </si>
  <si>
    <t>Рекомендовано УМО по образованию в области финансов, учета и мировой экономики в качестве учебника для студентов, обучающихся по специальностям «Финансы и кредит», «Бухгалтерский учет, анализ и аудит», «Мировая экономика», «Налоги с физических лиц»</t>
  </si>
  <si>
    <t>0317</t>
  </si>
  <si>
    <t>705331.03.01</t>
  </si>
  <si>
    <t>Анализ финансово-хоз. деят.: Уч.пос. / Т.М.Голубева - М.:НИЦ ИНФРА-М,2025 - 269 с.(СПО)(П)</t>
  </si>
  <si>
    <t>АНАЛИЗ ФИНАНСОВО-ХОЗЯЙСТВЕННОЙ ДЕЯТЕЛЬНОСТИ</t>
  </si>
  <si>
    <t>Голубева Т.М.</t>
  </si>
  <si>
    <t>978-5-16-016097-9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</si>
  <si>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 (протокол № 8 от 20.10.2021)</t>
  </si>
  <si>
    <t>Московский образовательный комплекс ЗАПАД</t>
  </si>
  <si>
    <t>0122</t>
  </si>
  <si>
    <t>083000.16.01</t>
  </si>
  <si>
    <t>Анализ финансово-хоз.деят. Практ.: Уч.пос. / О.В.Губина -  2 изд. - М.:ИД ФОРУМ, НИЦ ИНФРА-М,2021-192с(П)</t>
  </si>
  <si>
    <t>АНАЛИЗ ФИНАНСОВО-ХОЗЯЙСТВЕННОЙ ДЕЯТЕЛЬНОСТИ. ПРАКТИКУМ, ИЗД.2</t>
  </si>
  <si>
    <t>Губина О. В., Губин В. Е.</t>
  </si>
  <si>
    <t>978-5-8199-0731-3</t>
  </si>
  <si>
    <t>Допущено Министерством образования Российской Федерации в качестве учебника для студентов учреждений среднего профессионального образования, обучающихся по группе специальностей «Экономика и управление»</t>
  </si>
  <si>
    <t>0211</t>
  </si>
  <si>
    <t>077050.14.01</t>
  </si>
  <si>
    <t>Анализ финансово-хоз.деят.: Уч. / В.Е.Губин - 2 изд. - М.:ИД ФОРУМ, НИЦ ИНФРА-М,2024 - 335 с.(П)</t>
  </si>
  <si>
    <t>АНАЛИЗ ФИНАНСОВО-ХОЗЯЙСТВЕННОЙ ДЕЯТЕЛЬНОСТИ, ИЗД.2</t>
  </si>
  <si>
    <t>978-5-8199-0710-8</t>
  </si>
  <si>
    <t>Допущено Министерством образования и науки Российской Федерации в качестве учебника для студентов учреждений среднего профессионального образования, обучающихся по группе специальностей «Экономика и управление»</t>
  </si>
  <si>
    <t>030500.32.01</t>
  </si>
  <si>
    <t>Анализ финансово-хозяйственной деят.: Уч. / Г.В.Савицкая, - 7 изд. - М.:НИЦ ИНФРА-М,2025. - 286 с.(СПО)(п)</t>
  </si>
  <si>
    <t>АНАЛИЗ ФИНАНСОВО-ХОЗЯЙСТВЕННОЙ ДЕЯТЕЛЬНОСТИ, ИЗД.7</t>
  </si>
  <si>
    <t>978-5-16-020979-1</t>
  </si>
  <si>
    <t>Утверждено Министерством образования республики Беларусь в качестве учебника для учащихся средних специальных учебных заведений по специальностям «Бухгалтерский учет, анализ и контроль», «Экономика и управление персоналом»</t>
  </si>
  <si>
    <t>Май, 2025</t>
  </si>
  <si>
    <t>0725</t>
  </si>
  <si>
    <t>734727.03.01</t>
  </si>
  <si>
    <t>Анализ финансово-хозяйственной деятельности: Уч. / Е.Б.Герасимова-М.:НИЦ ИНФРА-М,2021.-262 с.(СПО (ФинУ ТМ))(П)</t>
  </si>
  <si>
    <t>Герасимова Е.Б.</t>
  </si>
  <si>
    <t>978-5-16-016738-1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</si>
  <si>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экономическим специальностям (протокол № 2 от 17.02.2021)</t>
  </si>
  <si>
    <t>030500.31.01</t>
  </si>
  <si>
    <t>Анализ хоз. деятельности предприятия: Уч. / Г.В.Савицкая - 6 изд. - М.:НИЦ ИНФРА-М,2025 - 378с.(СПО)(П)</t>
  </si>
  <si>
    <t>АНАЛИЗ ХОЗЯЙСТВЕННОЙ ДЕЯТЕЛЬНОСТИ ПРЕДПРИЯТИЯ, ИЗД.6</t>
  </si>
  <si>
    <t>978-5-16-006707-0</t>
  </si>
  <si>
    <t>0613</t>
  </si>
  <si>
    <t>842429.01.01</t>
  </si>
  <si>
    <t>Аналитическая химия: Уч. / Н.И.Мовчан - М.:НИЦ ИНФРА-М,2025 - 394 с.(СПО)(п)</t>
  </si>
  <si>
    <t>АНАЛИТИЧЕСКАЯ ХИМИЯ</t>
  </si>
  <si>
    <t>Мовчан Н.И., Романова Р.Г., Горбунова Т.С. и др.</t>
  </si>
  <si>
    <t>978-5-16-020343-0</t>
  </si>
  <si>
    <t>ЕСТЕСТВЕННЫЕ НАУКИ. МАТЕМАТИКА</t>
  </si>
  <si>
    <t>Химические науки</t>
  </si>
  <si>
    <t>13.02.05, 18.01.34, 18.01.35, 18.02.01, 18.02.04, 18.02.07, 18.02.09, 18.02.11, 18.02.12, 18.02.13, 18.02.14, 18.02.15, 20.02.01, 21.02.09, 22.02.08, 31.02.01, 33.02.01, 35.02.18</t>
  </si>
  <si>
    <t>Казанский национальный исследовательский технологический университет</t>
  </si>
  <si>
    <t>682819.09.01</t>
  </si>
  <si>
    <t>Анатомия животных: Уч. / В.И.Боев и др. - М.:НИЦ ИНФРА-М,2026 - 352 с.-(СПО)(П)</t>
  </si>
  <si>
    <t>АНАТОМИЯ ЖИВОТНЫХ</t>
  </si>
  <si>
    <t>Боев В.И., Журавлева И.А., Брагин Г.И.</t>
  </si>
  <si>
    <t>978-5-16-013881-7</t>
  </si>
  <si>
    <t>Биологические науки</t>
  </si>
  <si>
    <t>35.02.09, 35.02.14, 35.02.15, 36.01.02, 36.01.03, 36.01.05, 36.02.01, 36.02.03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</si>
  <si>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36.02.01 «Ветеринария», 36.02.02 «Зоотехния» (протокол № 3 от 11.02.2019)</t>
  </si>
  <si>
    <t>Российский биотехнологический университет (РОСБИОТЕХ)</t>
  </si>
  <si>
    <t>682820.07.01</t>
  </si>
  <si>
    <t>Анатомия и возрастная физиология: Уч. / Г.Н.Тюрикова - М.:НИЦ ИНФРА-М,2026 - 178 с.(СПО)(П)</t>
  </si>
  <si>
    <t>АНАТОМИЯ И ВОЗРАСТНАЯ ФИЗИОЛОГИЯ</t>
  </si>
  <si>
    <t>Тюрикова Г.Н., Тюрикова Ю.Б.</t>
  </si>
  <si>
    <t>978-5-16-013882-4</t>
  </si>
  <si>
    <t>Медицина. Фармакология</t>
  </si>
  <si>
    <t>12.02.08, 29.01.04, 31.02.01, 31.02.02, 31.02.03, 31.02.04, 31.02.05, 31.02.06, 32.02.01, 33.02.01, 34.02.01, 34.02.02, 42.02.12, 43.02.02, 43.02.04, 43.02.17, 44.02.01, 44.02.02, 44.02.03, 44.02.04, 44.02.05, 44.02.06, 49.02.01, 49.02.02, 53.02.01, 54.02.01, 54.02.02, 54.02.03, 54.02.06, 54.02.07, 49.02.03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</si>
  <si>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44.02.01 «Дошкольное образование», 44.02.02 «Преподавание в начальных классах», 44.02.03 «Педагогика дополнительного образования», 44.02.04 «Специальное дошкольное образование», 44.02.05 «Коррекционная педагогика в начальном образовании», 44.02.06 «Профессиональное обучение (по отраслям)»</t>
  </si>
  <si>
    <t>682821.05.01</t>
  </si>
  <si>
    <t>Анатомия и гистология сельск. животных: Практ.: Уч.пос./В.И.Боев-2 изд.-М.:НИЦ ИНФРА-М,2024-330с(СПО)</t>
  </si>
  <si>
    <t>АНАТОМИЯ И ГИСТОЛОГИЯ СЕЛЬСКОХОЗЯЙСТВЕННЫХ ЖИВОТНЫХ: ПРАКТИКУМ, ИЗД.2</t>
  </si>
  <si>
    <t>Боев В.И., Писменская В.Н.</t>
  </si>
  <si>
    <t>978-5-16-013883-1</t>
  </si>
  <si>
    <t>19.02.11, 19.02.12, 35.02.09, 35.02.15, 36.01.02, 36.01.03, 36.01.05, 36.02.01, 36.02.03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</si>
  <si>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35.02.06 «Технология производства и переработки сельскохозяйственной продукции»</t>
  </si>
  <si>
    <t>0219</t>
  </si>
  <si>
    <t>318800.11.01</t>
  </si>
  <si>
    <t>Анатомия и физиология дом. животных: Уч. / Под ред. Максимова В.И. - М.:НИЦ ИНФРА-М,2025. - 600 с.(СПО)(П)</t>
  </si>
  <si>
    <t>АНАТОМИЯ И ФИЗИОЛОГИЯ ДОМАШНИХ ЖИВОТНЫХ</t>
  </si>
  <si>
    <t>Максимов В.И., Слесаренко Н.А., Селезнев С.Б. и др.</t>
  </si>
  <si>
    <t>Среднее профессиональное образование (КрГАУ)</t>
  </si>
  <si>
    <t>978-5-16-010415-7</t>
  </si>
  <si>
    <t>35.02.09, 35.02.15, 36.01.02, 36.01.03, 36.01.05, 36.02.01, 36.02.03</t>
  </si>
  <si>
    <t>Допущено Учебно-методическим объединением высших учебных заведений Российской Федерации по образованию в области зоотехнии и ветеринарии в качестве учебника для студентов образовательных учреждений среднего профессионального образования по специальностям 36.02.01 «Ветеринария» и 36.02.02 «Зоотехния»</t>
  </si>
  <si>
    <t>Московская государственная академия ветеринарной медицины и биотехнологии - МВА им. К.И. Скрябина</t>
  </si>
  <si>
    <t>0116</t>
  </si>
  <si>
    <t>785125.03.01</t>
  </si>
  <si>
    <t>Анатомия и физиология человека: Уч. / А.И.Тюкавин - М.:НИЦ ИНФРА-М,2026 - 424 с.(СПО)(п)</t>
  </si>
  <si>
    <t>АНАТОМИЯ И ФИЗИОЛОГИЯ ЧЕЛОВЕКА</t>
  </si>
  <si>
    <t>Тюкавин А.И., Гайворонский И.В., Майстренко В.А. и др.</t>
  </si>
  <si>
    <t>978-5-16-018329-9</t>
  </si>
  <si>
    <t>12.02.08, 29.01.04, 31.02.01, 31.02.02, 31.02.03, 31.02.04, 31.02.05, 31.02.06, 32.02.01, 33.02.01, 34.02.01, 34.02.02, 42.02.12, 43.02.04, 43.02.17, 44.02.01, 44.02.02, 44.02.03, 44.02.04, 44.02.05, 44.02.06, 49.02.01, 49.02.02, 53.02.01, 54.02.03, 54.02.06, 49.02.03</t>
  </si>
  <si>
    <t>Первый Санкт-Петербургский государственный медицинский университет им. академика И.П.Павлова</t>
  </si>
  <si>
    <t>790399.03.01</t>
  </si>
  <si>
    <t>Английский  яз. для банковского дела: Уч. / О.Н.Анюшенкова - М.:НИЦ ИНФРА-М,2026. - 379 с.(СПО)(П)</t>
  </si>
  <si>
    <t>АНГЛИЙСКИЙ  ЯЗЫК ДЛЯ БАНКОВСКОГО ДЕЛА (ENGLISH FOR BANKING)</t>
  </si>
  <si>
    <t>978-5-16-018037-3</t>
  </si>
  <si>
    <t>38.02.07</t>
  </si>
  <si>
    <t>682822.07.01</t>
  </si>
  <si>
    <t>Английский в индустрии моды: Уч.пос. / Е.В.Казакова - М.:Вуз.уч.,НИЦ ИНФРА-М,2025 - 224 с.(СПО)(П)</t>
  </si>
  <si>
    <t>АНГЛИЙСКИЙ В ИНДУСТРИИ МОДЫ</t>
  </si>
  <si>
    <t>Казакова Е.В., Дружкова С.Г., Юрасова Н.К.</t>
  </si>
  <si>
    <t>978-5-9558-0616-7</t>
  </si>
  <si>
    <t>54.01.02, 54.01.20, 54.02.01, 54.02.02, 54.02.03, 54.02.04, 54.02.06, 54.02.07, 54.02.08</t>
  </si>
  <si>
    <t>Рекомендовано 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29.02.01«Конструирование, моделирование и технология изделий из кожи», 29.02.03 «Конструирование, моделирование и технология изделий из меха», 29.02.04 «Конструирование, моделирование и технология швейных изделий»</t>
  </si>
  <si>
    <t>Российский государственный университет им. А.Н. Косыгина</t>
  </si>
  <si>
    <t>704992.09.01</t>
  </si>
  <si>
    <t>Английский для деревообр., плотников и столяров: Уч. / Е.А.Агеева - М.:ИЦ РИОР, НИЦ ИНФРА-М,2025  - 132 с(П)</t>
  </si>
  <si>
    <t>АНГЛИЙСКИЙ ДЛЯ ДЕРЕВООБРАБОТЧИКОВ,ПЛОТНИКОВ И СТОЛЯРОВ</t>
  </si>
  <si>
    <t>Агеева Е.А.</t>
  </si>
  <si>
    <t>978-5-369-01821-7</t>
  </si>
  <si>
    <t>08.01.04, 08.01.05, 08.01.08, 08.01.24, 08.01.27, 08.01.28, 35.01.07, 35.01.08, 35.01.28, 35.01.29, 35.02.02, 35.02.18</t>
  </si>
  <si>
    <t>Московский индустриальный колледж</t>
  </si>
  <si>
    <t>684901.07.01</t>
  </si>
  <si>
    <t>Английский яз. в ситуациях повседнев.дел.общ.: Уч.пос./З.В.Маньковская-М.:НИЦ ИНФРА-М,2024-223с(СПО)</t>
  </si>
  <si>
    <t>АНГЛИЙСКИЙ ЯЗЫК В СИТУАЦИЯХ ПОВСЕДНЕВНОГО ДЕЛОВОГО ОБЩЕНИЯ</t>
  </si>
  <si>
    <t>Маньковская З.В.</t>
  </si>
  <si>
    <t>978-5-16-014149-7</t>
  </si>
  <si>
    <t>00.01.02, 00.02.02, 38.02.01, 38.02.02, 38.02.03, 38.02.06, 38.02.07, 38.02.08, 46.02.01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</si>
  <si>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 УГС 38.02.00 «Экономика и управление»</t>
  </si>
  <si>
    <t>Московский государственный технический университет им. Н.Э. Баумана, Мытищинский ф-л</t>
  </si>
  <si>
    <t>683242.06.01</t>
  </si>
  <si>
    <t>Английский яз. в сфере юриспруденции: Уч. / Э.Г.Куликова - М.:Юр.Норма, НИЦ ИНФРА-М,2026 - 208 с.(СПО)(П)</t>
  </si>
  <si>
    <t>АНГЛИЙСКИЙ ЯЗЫК В СФЕРЕ ЮРИСПРУДЕНЦИИ</t>
  </si>
  <si>
    <t>Куликова Э.Г., Солдатов Б.Г., Солдатова Н.В.</t>
  </si>
  <si>
    <t>978-5-91768-926-5</t>
  </si>
  <si>
    <t>Рекомендовано Учебно-методическим объединением по юридическому образованию вузов Российской Федерации в качестве учебника для студентов образовательных организаций, обучающихся по направлению подготовки 40.03.01 (030900) «Юриспруденция», квалификация (степень) «бакалавр»</t>
  </si>
  <si>
    <t>808641.05.01</t>
  </si>
  <si>
    <t>Английский яз. для автомобильной индустрии: Уч. / О.Н.Анюшенкова - М.:НИЦ ИНФРА-М,2026. - 460 с.(п)</t>
  </si>
  <si>
    <t>АНГЛИЙСКИЙ ЯЗЫК ДЛЯ АВТОМОБИЛЬНОЙ ИНДУСТРИИ = ENGLISH FOR THE AUTO INDUSTRY</t>
  </si>
  <si>
    <t>978-5-16-018903-1</t>
  </si>
  <si>
    <t>23.01.17, 23.02.01, 23.02.02, 23.02.03, 23.02.04, 23.02.05</t>
  </si>
  <si>
    <t>300300.16.01</t>
  </si>
  <si>
    <t>Английский яз. для индустрии гостеприимства: Уч.пос. / К.В.Кабанова - 2 изд. - М.:ИНФРА-М,2026 - 190 c.(СПО)</t>
  </si>
  <si>
    <t>АНГЛИЙСКИЙ ЯЗЫК ДЛЯ ИНДУСТРИИ ГОСТЕПРИИМСТВА, ИЗД.2</t>
  </si>
  <si>
    <t>Кабанова К.В., Мотинова Е.Н., Темякова В.В.</t>
  </si>
  <si>
    <t>978-5-16-013648-6</t>
  </si>
  <si>
    <t>43.02.06, 43.02.11, 43.02.16</t>
  </si>
  <si>
    <t>Рекомендовано федеральным государственным автономным учреждением «Федеральный институт развития образования» (ФГАУ «ФИРО») в качестве учебного пособия для использования в учебном процессе образовательных учреждений, реализующих программу СПО</t>
  </si>
  <si>
    <t>Колледж Московского гуманитарного университета</t>
  </si>
  <si>
    <t>837757.01.01</t>
  </si>
  <si>
    <t>Английский яз. для спец. лесного хоз.: Уч. / О.Н.Анюшенкова - М.:НИЦ ИНФРА-М,2025. - 395 с.(СПО)(п)</t>
  </si>
  <si>
    <t>АНГЛИЙСКИЙ ЯЗЫК ДЛЯ СПЕЦИАЛИСТОВ ЛЕСНОГО ХОЗЯЙСТВА</t>
  </si>
  <si>
    <t>978-5-16-020251-8</t>
  </si>
  <si>
    <t>35.02.01, 35.02.12</t>
  </si>
  <si>
    <t>834752.01.01</t>
  </si>
  <si>
    <t>Английский яз. для спец. по библ.- информ. деят.: Уч. / О.Н.Анюшенкова - М.:НИЦ ИНФРА-М,2025 - 399 с.(СПО)(п)</t>
  </si>
  <si>
    <t>АНГЛИЙСКИЙ ЯЗЫК ДЛЯ СПЕЦИАЛИСТОВ ПО БИБЛИОТЕЧНО-ИНФОРМАЦИОННОЙ ДЕЯТЕЛЬНОСТИ</t>
  </si>
  <si>
    <t>978-5-16-020185-6</t>
  </si>
  <si>
    <t>42.00.00, 51.02.03</t>
  </si>
  <si>
    <t>834751.01.01</t>
  </si>
  <si>
    <t>Английский яз. для спец. по рекламе и продвижению: Уч. / О.Н.Анюшенкова - М.:НИЦ ИНФРА-М,2025. - 403 с.(п)</t>
  </si>
  <si>
    <t>АНГЛИЙСКИЙ ЯЗЫК ДЛЯ СПЕЦИАЛИСТОВ ПО РЕКЛАМЕ И ПРОДВИЖЕНИЮ (ENGLISH FOR ADVERTISING AND PROMOTION)</t>
  </si>
  <si>
    <t>978-5-16-020137-5</t>
  </si>
  <si>
    <t>42.01.01, 42.02.01</t>
  </si>
  <si>
    <t>787445.01.01</t>
  </si>
  <si>
    <t>Английский яз. для телекоммуникационных технологий: Уч. / О.Н.Анюшенкова-М.:НИЦ ИНФРА-М,2024.-283 с.(п)</t>
  </si>
  <si>
    <t>АНГЛИЙСКИЙ ЯЗЫК ДЛЯ ТЕЛЕКОММУНИКАЦИОННЫХ ТЕХНОЛОГИЙ = ENGLISH FOR TELECOMMUNICATION TECHNOLOGIES</t>
  </si>
  <si>
    <t>978-5-16-018065-6</t>
  </si>
  <si>
    <t>09.02.01, 09.02.06, 09.02.07, 11.01.01, 11.01.02, 11.01.05, 11.01.08, 11.01.11, 11.02.03, 11.02.06, 11.02.07, 11.02.09, 11.02.11, 11.02.12, 11.02.13, 11.02.14, 11.02.15, 11.02.16, 11.02.17, 11.02.18, 11.02.19</t>
  </si>
  <si>
    <t>СПО-2022, Победитель, I место</t>
  </si>
  <si>
    <t>765144.08.01</t>
  </si>
  <si>
    <t>Английский яз.: гостиничное дело и обществ. питание: Уч. / О.Н.Анюшенкова - М.:НИЦ ИНФРА-М,2026 - 358 с.(П)</t>
  </si>
  <si>
    <t>АНГЛИЙСКИЙ ЯЗЫК: ГОСТИНИЧНОЕ ДЕЛО И ОБЩЕСТВЕННОЕ ПИТАНИЕ</t>
  </si>
  <si>
    <t>978-5-16-017241-5</t>
  </si>
  <si>
    <t>43.02.01, 43.02.11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</si>
  <si>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43.02.14 «Гостиничное дело», 43.02.01 «Организация обслуживания в общественном питании», 43.02.11 «Гостиничный сервис» (протокол № 10 от 15.12.2021)</t>
  </si>
  <si>
    <t>682801.07.01</t>
  </si>
  <si>
    <t>Английский яз.для студ., изуч. турист.бизнес: Уч.пос. / А.П.Миньяр-Белоручева - М,НИЦ ИНФРА-М,2026 - 302 с.(СПО)(П)</t>
  </si>
  <si>
    <t>ENGLISH FOR STUDENTS IN TOURISM MANAGEMENT. АНГЛИЙСКИЙ ЯЗЫК ДЛЯ СТУДЕНТОВ, ИЗУЧАЮЩИХ ТУРИСТИЧЕСКИЙ БИЗНЕС</t>
  </si>
  <si>
    <t>Миньяр-Белоручева А.П., Покровская М.Е.</t>
  </si>
  <si>
    <t>978-5-16-021467-2</t>
  </si>
  <si>
    <t>43.02.11, 43.02.16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</si>
  <si>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43.02.10 «Туризм», 43.02.11 «Гостиничный сервис»</t>
  </si>
  <si>
    <t>Московский государственный университет им. М.В. Ломоносова, исторический факультет</t>
  </si>
  <si>
    <t>819342.01.01</t>
  </si>
  <si>
    <t>Английский язык (гостиничное дело): Уч. / О.Н.Анюшенкова - М.:НИЦ ИНФРА-М,2024. - 467 с.(СПО (ФинУн))(п)</t>
  </si>
  <si>
    <t>АНГЛИЙСКИЙ ЯЗЫК (ГОСТИНИЧНОЕ ДЕЛО)</t>
  </si>
  <si>
    <t>978-5-16-019616-9</t>
  </si>
  <si>
    <t>43.02.11</t>
  </si>
  <si>
    <t>807968.01.01</t>
  </si>
  <si>
    <t>Английский язык в  машиностроении: Уч. / О.Н.Анюшенкова-М.:НИЦ ИНФРА-М,2023.-340 с..-(СПО (ФинУн))(п)</t>
  </si>
  <si>
    <t>АНГЛИЙСКИЙ ЯЗЫК В  МАШИНОСТРОЕНИИ (ENGLISH FOR MECHANICAL ENGINEERING)</t>
  </si>
  <si>
    <t>978-5-16-018813-3</t>
  </si>
  <si>
    <t>15.01.29, 15.02.01, 15.02.07, 15.02.16, 15.02.17, 15.02.18</t>
  </si>
  <si>
    <t>804944.01.01</t>
  </si>
  <si>
    <t>Английский язык в сфере строит. (English for Students of Civil...): Уч. / О.Н.Анюшенкова-М.:ИНФРА-М,2024-371с.(п)</t>
  </si>
  <si>
    <t>АНГЛИЙСКИЙ ЯЗЫК В СФЕРЕ СТРОИТЕЛЬСТВА (ENGLISH FOR STUDENTS OF CIVIL ENGINEERING AND CONSTRUCTION)</t>
  </si>
  <si>
    <t>978-5-16-018711-2</t>
  </si>
  <si>
    <t>08.01.04, 08.01.24, 08.01.27, 08.01.28, 08.01.29, 08.01.30, 08.01.31, 08.01.32, 08.02.01, 08.02.02, 08.02.03, 08.02.04, 08.02.08, 08.02.09, 08.02.12, 08.02.13, 08.02.14, 08.02.15</t>
  </si>
  <si>
    <t>858910.01.01</t>
  </si>
  <si>
    <t>Английский язык для архивного дела: Уч. / О.Н.Анюшенкова - М.:НИЦ ИНФРА-М,2026. - 356 с.(Проф. ин. яз.)(п)</t>
  </si>
  <si>
    <t>АНГЛИЙСКИЙ ЯЗЫК ДЛЯ АРХИВНОГО ДЕЛА = ENGLISH FOR ARCHIVAL AFFAIRS</t>
  </si>
  <si>
    <t>Профессиональный иностранный язык</t>
  </si>
  <si>
    <t>978-5-16-021053-7</t>
  </si>
  <si>
    <t>46.01.03, 46.02.01, 46.02.02</t>
  </si>
  <si>
    <t>765163.03.01</t>
  </si>
  <si>
    <t>Английский язык для железнодорожников: Уч. / О.Н.Анюшенкова - М.:НИЦ ИНФРА-М,2026. - 503 с.(СПО (ФинУн))(п)</t>
  </si>
  <si>
    <t>АНГЛИЙСКИЙ ЯЗЫК ДЛЯ ЖЕЛЕЗНОДОРОЖНИКОВ</t>
  </si>
  <si>
    <t>978-5-16-017443-3</t>
  </si>
  <si>
    <t>23.01.14, 23.01.16, 23.02.01, 23.02.05, 23.02.06, 23.02.08</t>
  </si>
  <si>
    <t>300300.02.01</t>
  </si>
  <si>
    <t>Английский язык для индустрии гостеприимства: Уч.пос. / К.В.Ишимцева - Альфа-М,НИЦ ИНФРА-М,2017-192с</t>
  </si>
  <si>
    <t>АНГЛИЙСКИЙ ЯЗЫК ДЛЯ ИНДУСТРИИ ГОСТЕПРИИМСТВА</t>
  </si>
  <si>
    <t>Ишимцева К. В., Мотинова Е. Н., Темякова В. В.</t>
  </si>
  <si>
    <t>Альфа-М</t>
  </si>
  <si>
    <t>ПРОФИль</t>
  </si>
  <si>
    <t>978-5-98281-409-8</t>
  </si>
  <si>
    <t>0115</t>
  </si>
  <si>
    <t>833304.01.01</t>
  </si>
  <si>
    <t>Английский язык для индустрии моды: Уч. / О.Н.Анюшенкова - М.:НИЦ ИНФРА-М,2025. - 524 с.(СПО (ФинУн))(п)</t>
  </si>
  <si>
    <t>АНГЛИЙСКИЙ ЯЗЫК ДЛЯ ИНДУСТРИИ МОДЫ</t>
  </si>
  <si>
    <t>978-5-16-020092-7</t>
  </si>
  <si>
    <t>29.02.02, 29.02.05, 29.02.10</t>
  </si>
  <si>
    <t>768662.02.01</t>
  </si>
  <si>
    <t>Английский язык для машиностроит. специальностей: Уч. / Г.В.Шевцова-М.:НИЦ ИНФРА-М,2024-266с.(СПО)(п)</t>
  </si>
  <si>
    <t>АНГЛИЙСКИЙ ЯЗЫК ДЛЯ МАШИНОСТРОИТЕЛЬНЫХ СПЕЦИАЛЬНОСТЕЙ</t>
  </si>
  <si>
    <t>Шевцова Г.В., Москалец Л.Е.</t>
  </si>
  <si>
    <t>978-5-16-018397-8</t>
  </si>
  <si>
    <t>15.01.08, 15.01.29, 15.01.35, 15.01.36, 15.01.37, 15.01.38, 15.02.01, 15.02.03, 15.02.04, 15.02.06, 15.02.07, 15.02.09, 15.02.10, 15.02.16, 15.02.17, 15.02.18, 15.02.19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</si>
  <si>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15.00.00 «Машиностроение» (протокол № 1 от 17.01.2023)</t>
  </si>
  <si>
    <t>Южно-Российский государственный политехнический университет (НПИ) им. М.И. Платова</t>
  </si>
  <si>
    <t>СПО-2023, Победитель, II место</t>
  </si>
  <si>
    <t>765194.03.01</t>
  </si>
  <si>
    <t>Английский язык для моряков и судостроителей: Уч. / О.Н.Анюшенкова - М.:НИЦ ИНФРА-М,2026 - 782 с.(СПО)(п)</t>
  </si>
  <si>
    <t>АНГЛИЙСКИЙ ЯЗЫК ДЛЯ МОРЯКОВ И СУДОСТРОИТЕЛЕЙ = ENGLISH FOR SEAFARERS AND SHIPBUILDERS</t>
  </si>
  <si>
    <t>978-5-16-017900-1</t>
  </si>
  <si>
    <t>26.01.01, 26.01.02, 26.01.03, 26.02.01, 26.02.02, 26.02.03, 26.02.04, 26.02.05, 26.02.06</t>
  </si>
  <si>
    <t>850795.01.01</t>
  </si>
  <si>
    <t>Английский язык для организации и безоп. дорожного движ...: Уч. / О.Н.Анюшенкова - М.:НИЦ ИНФРА-М,2026. - 329 с.(П)</t>
  </si>
  <si>
    <t>АНГЛИЙСКИЙ ЯЗЫК ДЛЯ ОРГАНИЗАЦИИ И БЕЗОПАСНОСТИ ДОРОЖНОГО ДВИЖЕНИЯ. ENGLISH FOR TRAFFIC MANAGEMENT SYSTEMS</t>
  </si>
  <si>
    <t>978-5-16-020911-1</t>
  </si>
  <si>
    <t>23.01.03, 23.01.04, 23.01.06, 23.02.01, 23.02.02, 23.02.03, 23.02.04, 23.02.05, 40.02.02</t>
  </si>
  <si>
    <t>Июль, 2025</t>
  </si>
  <si>
    <t>838716.01.01</t>
  </si>
  <si>
    <t>Английский язык для промыш. рыболовства...: Уч. / О.Н.Анюшенкова - М.:НИЦ ИНФРА-М,2025. - 388 с.(п)</t>
  </si>
  <si>
    <t>АНГЛИЙСКИЙ ЯЗЫК ДЛЯ ПРОМЫШЛЕННОГО РЫБОЛОВСТВА (ENGLISH FOR COMMERCIAL FISHING)</t>
  </si>
  <si>
    <t>978-5-16-020388-1</t>
  </si>
  <si>
    <t>35.02.11</t>
  </si>
  <si>
    <t>Март, 2025</t>
  </si>
  <si>
    <t>838715.01.01</t>
  </si>
  <si>
    <t>Английский язык для спец. лесопарк. хоз..: Уч. / О.Н.Анюшенкова - М.:НИЦ ИНФРА-М,2025. - 422 с.(п)</t>
  </si>
  <si>
    <t>АНГЛИЙСКИЙ ЯЗЫК ДЛЯ СПЕЦИАЛИСТОВ ЛЕСОПАРКОВОГО ХОЗЯЙСТВА (ENGLISH FOR FOREST PARKS)</t>
  </si>
  <si>
    <t>978-5-16-020308-9</t>
  </si>
  <si>
    <t>690286.09.01</t>
  </si>
  <si>
    <t>Английский язык для технических спец.: Уч.пос. / С.С.Литвинская - М.:НИЦ ИНФРА-М,2026 - 252 с.(СПО)(П)</t>
  </si>
  <si>
    <t>АНГЛИЙСКИЙ ЯЗЫК ДЛЯ ТЕХНИЧЕСКИХ СПЕЦИАЛЬНОСТЕЙ</t>
  </si>
  <si>
    <t>Литвинская С.С.</t>
  </si>
  <si>
    <t>978-5-16-014535-8</t>
  </si>
  <si>
    <t>05.02.02, 05.02.03, 08.02.13, 13.02.13, 20.02.01, 20.02.02, 21.01.03, 21.02.03, 21.02.09, 21.02.10, 21.02.12, 21.02.13, 21.02.19, 23.02.03, 24.02.02, 27.02.04, 27.02.05, 27.02.06, 27.02.07, 35.01.05, 35.01.06, 35.02.12, 39.02.01, 39.02.03, 55.02.01, 55.02.02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</si>
  <si>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23.02.03 «Техническое обслуживание и ремонт автомобильного транспорта», 13.02.11 «Техническая эксплуатация и обслуживание электрического и электромеханического оборудования (по отраслям)» (протокол №14 от 30.09.2019)</t>
  </si>
  <si>
    <t>Приамурский государственный университет имени Шолом-Алейхема</t>
  </si>
  <si>
    <t>0120</t>
  </si>
  <si>
    <t>838720.01.01</t>
  </si>
  <si>
    <t>Английский язык. Водные биоресурсы и аквакультура..: Уч. / О.Н.Анюшенкова - М.:НИЦ ИНФРА-М,2025. - 415 с.(п)</t>
  </si>
  <si>
    <t>АНГЛИЙСКИЙ ЯЗЫК. ВОДНЫЕ БИОРЕСУРСЫ И АКВАКУЛЬТУРА (ENGLISH FOR AQUATIC BIORESOURCES AND AQUACULTURE)</t>
  </si>
  <si>
    <t>978-5-16-020373-7</t>
  </si>
  <si>
    <t>35.01.18, 35.02.09, 35.02.10</t>
  </si>
  <si>
    <t>842918.01.01</t>
  </si>
  <si>
    <t>Английский язык: ветеринария: Уч. / О.Н.Анюшенкова - М.:НИЦ ИНФРА-М,2025. - 455 с.(СПО (ФинУн))(п)</t>
  </si>
  <si>
    <t>АНГЛИЙСКИЙ ЯЗЫК: ВЕТЕРИНАРИЯ</t>
  </si>
  <si>
    <t>978-5-16-020446-8</t>
  </si>
  <si>
    <t>35.01.27, 35.02.14</t>
  </si>
  <si>
    <t>АКАДЕМУС-2024, Победитель, II место</t>
  </si>
  <si>
    <t>797594.01.01</t>
  </si>
  <si>
    <t>Английский язык: транспорт...: Уч.пос. / Л.Т.Шариева-М.:НИЦ ИНФРА-М,2024.-160 с.(СПО)(п)</t>
  </si>
  <si>
    <t>АНГЛИЙСКИЙ ЯЗЫК: ТРАНСПОРТНЫЕ СРЕДСТВА, СТРОИТЕЛЬНЫЕ И ДОРОЖНЫЕ МАШИНЫ (ENGLISH. TRANSPORT. ROAD CONSTRUCTION MACHINERY)</t>
  </si>
  <si>
    <t>Шариева Л.Т.</t>
  </si>
  <si>
    <t>978-5-16-018376-3</t>
  </si>
  <si>
    <t>23.01.17, 23.02.01, 23.02.02, 23.02.03, 23.02.04, 23.02.05, 23.02.07</t>
  </si>
  <si>
    <t>Альметьевский политехнический техникум</t>
  </si>
  <si>
    <t>СПО-2023, Победитель, III место</t>
  </si>
  <si>
    <t>642931.10.01</t>
  </si>
  <si>
    <t>Английский язык: Уч.пос. / З.В.Маньковская - М.:НИЦ ИНФРА-М,2024 - 200 с.-(СПО)(П)</t>
  </si>
  <si>
    <t>АНГЛИЙСКИЙ ЯЗЫК</t>
  </si>
  <si>
    <t>978-5-16-012363-9</t>
  </si>
  <si>
    <t>00.01.02, 00.02.02, 13.02.05, 21.02.20, 26.02.04, 27.02.06, 38.02.02, 40.02.04</t>
  </si>
  <si>
    <t>Рекомендуется в качестве учебного пособия для использования учебными заведениями, реализующими основную профессиональную образовательную программу СПО социально-экономического профиля на базе основного общего образования с получением среднего общего профессионального образования</t>
  </si>
  <si>
    <t>0117</t>
  </si>
  <si>
    <t>682824.07.01</t>
  </si>
  <si>
    <t>Английский язык: Уч.пос. / Н.М.Дюканова - 2 изд.- М.:НИЦ ИНФРА-М, 2025 - 319 с.-(СПО)(П)</t>
  </si>
  <si>
    <t>АНГЛИЙСКИЙ ЯЗЫК, ИЗД.2</t>
  </si>
  <si>
    <t>Дюканова Н.М.</t>
  </si>
  <si>
    <t>978-5-16-013886-2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</si>
  <si>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38.02.02 «Страховое дело (по отраслям)», 38.02.03 «Операционная деятельность в логистике», 38.02.04 «Коммерция (по отраслям)», 38.02.05 «Товароведение и экспертиза качества потребительских товаров», 38.02.06 «Финансы», 38.02.07 «Банковское дело»</t>
  </si>
  <si>
    <t>837762.01.01</t>
  </si>
  <si>
    <t>Английский язык: эксплуатация беспилотных...: Уч. / О.Н.Анюшенкова - М.:НИЦ ИНФРА-М,2025. - 393 с.(п)</t>
  </si>
  <si>
    <t>АНГЛИЙСКИЙ ЯЗЫК: ЭКСПЛУАТАЦИЯ БЕСПИЛОТНЫХ АВИАЦИОННЫХ СИСТЕМ</t>
  </si>
  <si>
    <t>978-5-16-020220-4</t>
  </si>
  <si>
    <t>25.02.01, 25.02.02, 25.02.03, 25.02.04, 25.02.05, 25.02.06, 25.02.07, 25.02.08</t>
  </si>
  <si>
    <t>712458.09.01</t>
  </si>
  <si>
    <t>Английский язык: электроэнергетика...: Уч.пос. / А.А.Новикова - М.:НИЦ ИНФРА-М,2025 - 246 с.(СПО)(П)</t>
  </si>
  <si>
    <t>АНГЛИЙСКИЙ ЯЗЫК: ЭЛЕКТРОЭНЕРГЕТИКА И ЭЛЕКТРОТЕХНИКА</t>
  </si>
  <si>
    <t>Новикова А.А.</t>
  </si>
  <si>
    <t>978-5-16-015367-4</t>
  </si>
  <si>
    <t>13.02.01, 13.02.02, 13.02.04, 13.02.05, 13.02.07, 13.02.08, 13.02.09, 13.02.12, 13.02.13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</si>
  <si>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13.02.00 «Электро- и теплоэнергетика» (протокол № 5 от 11.03.2019)</t>
  </si>
  <si>
    <t>Тюменский индустриальный университет, ф-л Тобольский индустриальный институт</t>
  </si>
  <si>
    <t>131750.15.01</t>
  </si>
  <si>
    <t>Аппараты защиты в электрич.сетях низ. напряж.:  Уч.пос. / В.П.Шеховцов - М.:НИЦ ИНФРА-М,2025 - 160 с.(О)</t>
  </si>
  <si>
    <t>АППАРАТЫ ЗАЩИТЫ В ЭЛЕКТРИЧЕСКИХ СЕТЯХ НИЗКОГО НАПРЯЖЕНИЯ</t>
  </si>
  <si>
    <t>Шеховцов В. П.</t>
  </si>
  <si>
    <t>978-5-16-016326-0</t>
  </si>
  <si>
    <t>00.02.39, 08.01.31, 08.02.09, 11.01.05, 11.02.14, 11.02.16, 13.01.03, 13.01.04, 13.01.05, 13.01.07, 13.01.10, 13.02.07, 13.02.09, 13.02.12, 13.02.13, 21.01.15, 26.01.05, 26.02.04, 26.02.05, 26.02.06, 35.01.15</t>
  </si>
  <si>
    <t>Национальный исследовательский ядерный университет "МИФИ", ф-л Обнинский институт атомной энергетики</t>
  </si>
  <si>
    <t>835022.02.01</t>
  </si>
  <si>
    <t>Архивоведение: Уч. пос. / Е.В.Булюлина - М.:НИЦ ИНФРА-М,2025. - 206 с.-(СПО)(п)</t>
  </si>
  <si>
    <t>АРХИВОВЕДЕНИЕ</t>
  </si>
  <si>
    <t>Булюлина Е.В.</t>
  </si>
  <si>
    <t>978-5-16-020095-8</t>
  </si>
  <si>
    <t>Культура. Средства массовой информации</t>
  </si>
  <si>
    <t>40.02.04, 46.01.01, 46.01.02, 46.01.03, 46.02.01, 46.02.02</t>
  </si>
  <si>
    <t>Центр документации новейшей истории Волгоградской области</t>
  </si>
  <si>
    <t>СПО-2024, Победитель, II место</t>
  </si>
  <si>
    <t>066200.28.01</t>
  </si>
  <si>
    <t>Архитектура зданий: Уч. / Н.П.Вильчик - 2 изд. - М.:НИЦ ИНФРА-М,2025 - 319 с.(СПО)(П)</t>
  </si>
  <si>
    <t>АРХИТЕКТУРА ЗДАНИЙ, ИЗД.2</t>
  </si>
  <si>
    <t>Вильчик Н. П.</t>
  </si>
  <si>
    <t>978-5-16-004279-4</t>
  </si>
  <si>
    <t>Искусство</t>
  </si>
  <si>
    <t>07.02.01, 08.02.01, 08.02.15, 20.01.01</t>
  </si>
  <si>
    <t>Допущено Государственным комитетом Российской Федерации по строительству и жилищно-коммунальному комплексу в качестве учебника для студентов  средних специальных учебных заведений, обучающихся по специальности 08.02.01 «Строительство и эксплуатация зданий и сооружений»</t>
  </si>
  <si>
    <t>0210</t>
  </si>
  <si>
    <t>060560.24.01</t>
  </si>
  <si>
    <t>Архитектура ЭВМ и вычислит. систем: Уч. / Н.В.Максимов - 5 изд.-М.:Форум, НИЦ ИНФРА-М,2024.-511c.(П)</t>
  </si>
  <si>
    <t>АРХИТЕКТУРА ЭВМ И ВЫЧИСЛИТЕЛЬНЫХ СИСТЕМ, ИЗД.5</t>
  </si>
  <si>
    <t>Максимов Н.В., Партыка Т.Л., Попов И.И.</t>
  </si>
  <si>
    <t>978-5-00091-511-0</t>
  </si>
  <si>
    <t>09.02.01, 09.02.02, 09.02.03, 09.02.04, 09.02.05, 09.02.06, 09.02.07, 26.02.04</t>
  </si>
  <si>
    <t>Рекомендовано Министерством образования и науки Российской Федерации в качестве учебника для студентов учреждений среднего профессионального образования, обучающихся по группе специальностей 09.00.00 «Информатика и вычислительная техника»</t>
  </si>
  <si>
    <t>Национальный исследовательский ядерный университет "МИФИ"</t>
  </si>
  <si>
    <t>0513</t>
  </si>
  <si>
    <t>640317.14.01</t>
  </si>
  <si>
    <t>Архитектура ЭВМ и вычислительные системы: Уч. / В.В.Степина - М.:КУРС, НИЦ ИНФРА-М,2026 - 384 с.(СПО)(П)</t>
  </si>
  <si>
    <t>АРХИТЕКТУРА ЭВМ И ВЫЧИСЛИТЕЛЬНЫЕ СИСТЕМЫ</t>
  </si>
  <si>
    <t>Степина В.В.</t>
  </si>
  <si>
    <t>КУРС</t>
  </si>
  <si>
    <t>978-5-906923-07-3</t>
  </si>
  <si>
    <t>09.02.01, 09.02.02, 09.02.03, 09.02.04, 09.02.05, 09.02.07, 09.02.08</t>
  </si>
  <si>
    <t>Колледж предпринимательства № 11, г. Москва</t>
  </si>
  <si>
    <t>100600.20.01</t>
  </si>
  <si>
    <t>Архитектура ЭВМ: Уч.пос. / В.Д.Колдаев - М.:ИД ФОРУМ, НИЦ ИНФРА-М,2025 - 383 с.(СПО)(П)</t>
  </si>
  <si>
    <t>АРХИТЕКТУРА ЭВМ</t>
  </si>
  <si>
    <t>Колдаев В. Д., Лупин С. А.</t>
  </si>
  <si>
    <t>978-5-8199-0868-6</t>
  </si>
  <si>
    <t>09.02.01, 09.02.02, 09.02.03, 09.02.04, 09.02.05, 09.02.06, 09.02.07, 15.02.10</t>
  </si>
  <si>
    <t>Московский институт электронной техники</t>
  </si>
  <si>
    <t>0109</t>
  </si>
  <si>
    <t>687653.08.01</t>
  </si>
  <si>
    <t>Архитектурные конструкции и теория констр...: Уч.пос. / Е.В.Сысоева. - М.:НИЦ ИНФРА-М,2025 - 280 с.(П)(СПО)</t>
  </si>
  <si>
    <t>АРХИТЕКТУРНЫЕ КОНСТРУКЦИИ И ТЕОРИЯ КОНСТРУИРОВАНИЯ: МАЛОЭТАЖНЫЕ ЖИЛЫЕ ЗДАНИЯ</t>
  </si>
  <si>
    <t>Сысоева Е.В., Трушин С.И., Коновалов В.П. и др.</t>
  </si>
  <si>
    <t>978-5-16-014238-8</t>
  </si>
  <si>
    <t>07.02.01, 08.02.01, 08.02.02, 08.02.04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</si>
  <si>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07.02.01 «Архитектура», 08.02.01 «Строительство и эксплуатация зданий и сооружений»</t>
  </si>
  <si>
    <t>682826.04.01</t>
  </si>
  <si>
    <t>Ассортимент, товаровед. и экспертиза...: Уч.пос. / Л.В.Орленко - М.:НИЦ ИНФРА-М,2025 - 272 с.(СПО)(П)</t>
  </si>
  <si>
    <t>АССОРТИМЕНТ, ТОВАРОВЕДЕНИЕ И ЭКСПЕРТИЗА ПУШНО-МЕХОВЫХ ТОВАРОВ</t>
  </si>
  <si>
    <t>Орленко Л.В.</t>
  </si>
  <si>
    <t>978-5-8199-0784-9</t>
  </si>
  <si>
    <t>38.02.08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</si>
  <si>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29.02.02 «Технология кожи и меха», 29.02.03 «Конструирование, моделирование и технология изделий из меха»</t>
  </si>
  <si>
    <t>Российский государственный университет туризма и сервиса</t>
  </si>
  <si>
    <t>704840.03.01</t>
  </si>
  <si>
    <t>Астрономия. Практикум: Уч.пос. / А.А.Гамза, - 2 изд.-М.:НИЦ ИНФРА-М,2023.-127 с.(СПО)(О)</t>
  </si>
  <si>
    <t>АСТРОНОМИЯ. ПРАКТИКУМ, ИЗД.2</t>
  </si>
  <si>
    <t>Гамза А.А.</t>
  </si>
  <si>
    <t>978-5-16-015348-3</t>
  </si>
  <si>
    <t>Физико-математические науки</t>
  </si>
  <si>
    <t>00.02.10</t>
  </si>
  <si>
    <t>Рекомендовано учреждением образования «Республиканский институт профессионального образования» в качестве пособия для учащихся учреждений, реализующих образовательные программы профессионально-технического и среднего специального образования</t>
  </si>
  <si>
    <t>Республиканский институт профессионального образования</t>
  </si>
  <si>
    <t>СПО-2019, Победитель</t>
  </si>
  <si>
    <t>734007.06.01</t>
  </si>
  <si>
    <t>Астрономия: Уч.пос. / А.В.Благин - М.:НИЦ ИНФРА-М,2026. - 272 с.(СПО)(П)</t>
  </si>
  <si>
    <t>АСТРОНОМИЯ</t>
  </si>
  <si>
    <t>Благин А.В., Котова О.В.</t>
  </si>
  <si>
    <t>978-5-16-016147-1</t>
  </si>
  <si>
    <t>00.02.10, 21.02.20, 52.02.01, 52.02.02, 53.02.02, 53.02.03, 53.02.04, 53.02.05, 53.02.07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</si>
  <si>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программу среднего профессионального образования (протокол № 5 от 16.03.2020)</t>
  </si>
  <si>
    <t>Донской государственный технический университет</t>
  </si>
  <si>
    <t>СПО-2021, Победитель</t>
  </si>
  <si>
    <t>734219.07.01</t>
  </si>
  <si>
    <t>Астрономия: Уч.пос. / С.В.Павлов - М.:НИЦ ИНФРА-М,2025 - 359 с.: цв.ил.-(СПО)(П)</t>
  </si>
  <si>
    <t>Павлов С.В.</t>
  </si>
  <si>
    <t>978-5-16-016443-4</t>
  </si>
  <si>
    <t>00.02.10, 52.02.01, 52.02.02, 53.02.02, 53.02.03, 53.02.04, 53.02.05, 53.02.07</t>
  </si>
  <si>
    <t>Рекомендовано Межрегиональным учебно-методическим советом профессионального образования в качестве учебного пособия для учащихся учебных заведений среднего профессионального образования, обучающихся по основной образовательной программе среднего профессионального образования</t>
  </si>
  <si>
    <t>Московский государственный университет им. М.В. Ломоносова, физический факультет</t>
  </si>
  <si>
    <t>706235.02.01</t>
  </si>
  <si>
    <t>Аудит в соответствии с международными стандартами: Уч. /Ю.Ю.Кочинев-М.:НИЦ ИНФРА-М,2023-370с(СПО)(П)</t>
  </si>
  <si>
    <t>АУДИТ В СООТВЕТСТВИИ С МЕЖДУНАРОДНЫМИ СТАНДАРТАМИ</t>
  </si>
  <si>
    <t>Кочинев Ю.Ю.</t>
  </si>
  <si>
    <t>978-5-16-015070-3</t>
  </si>
  <si>
    <t>35.01.23, 35.01.24, 38.02.01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</si>
  <si>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38.02.01 «Экономика и бухгалтерский учет» (протокол № 9 от 13.05.2019)</t>
  </si>
  <si>
    <t>072670.19.01</t>
  </si>
  <si>
    <t>Аудит: Практикум: Уч.пос. / Н.В.Парушина и др., - 3 изд. - М.:НИЦ ИНФРА-М,2026. - 286 с.(п)</t>
  </si>
  <si>
    <t>АУДИТ: ПРАКТИКУМ, ИЗД.3</t>
  </si>
  <si>
    <t>Парушина Н.В., Суворова С.П., Галкина Е.В.</t>
  </si>
  <si>
    <t>978-5-16-021127-5</t>
  </si>
  <si>
    <t>35.01.23, 35.01.24, 38.02.01, 38.02.03, 38.02.06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</si>
  <si>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38.00.00 «Экономика и управление»</t>
  </si>
  <si>
    <t>0313</t>
  </si>
  <si>
    <t>684986.02.01</t>
  </si>
  <si>
    <t>Аудит: Уч. / И.В.Федоренко - М.:НИЦ ИНФРА-М,2019 - 272 с.-(СПО)(П)</t>
  </si>
  <si>
    <t>АУДИТ</t>
  </si>
  <si>
    <t>Федоренко И.В., Золотарева Г.И.</t>
  </si>
  <si>
    <t>978-5-16-014141-1</t>
  </si>
  <si>
    <t>38.02.01, 38.02.03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</si>
  <si>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специальности 38.02.01 «Экономика и бухгалтерский учет (по отраслям)»</t>
  </si>
  <si>
    <t>Сибирский государственный университет науки и технологий им. академика М.Ф. Решетнева</t>
  </si>
  <si>
    <t>684986.05.01</t>
  </si>
  <si>
    <t>Аудит: Уч. / И.В.Федоренко, - 2 изд. - М.:НИЦ ИНФРА-М,2026. - 281 с.(СПО)(п)</t>
  </si>
  <si>
    <t>АУДИТ, ИЗД.2</t>
  </si>
  <si>
    <t>978-5-16-015889-1</t>
  </si>
  <si>
    <t>802560.01.01</t>
  </si>
  <si>
    <t>Аудит: Уч. / Н.Г.Гаджиев и др. - М.:НИЦ ИНФРА-М,2025. - 306 с.(СПО)(п)</t>
  </si>
  <si>
    <t>Гаджиев Н.Г., Коноваленко С.А., Скрипкина О.В. и др.</t>
  </si>
  <si>
    <t>978-5-16-020264-8</t>
  </si>
  <si>
    <t>38.02.01</t>
  </si>
  <si>
    <t>Дагестанский государственный университет</t>
  </si>
  <si>
    <t>682827.02.01</t>
  </si>
  <si>
    <t>Аудит: Уч.пос. / С.А.Касьянова - М.:Вуз. уч.,НИЦ ИНФРА-М,2020 - 196 с.(СПО)(П)</t>
  </si>
  <si>
    <t>Касьянова С.А.</t>
  </si>
  <si>
    <t>978-5-9558-0620-4</t>
  </si>
  <si>
    <t>35.01.23, 35.01.24, 38.02.01, 38.02.03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</si>
  <si>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38.02.03 «Операционная деятельность в логистике» (протокол № 3 от 11.02. 2019)</t>
  </si>
  <si>
    <t>Российский экономический университет им. Г.В. Плеханова, Краснодарский ф-л</t>
  </si>
  <si>
    <t>682827.09.01</t>
  </si>
  <si>
    <t>Аудит: Уч.пос. / С.А.Касьянова, - 2 изд., - М.:НИЦ ИНФРА-М,2026. - 200 с.(СПО)(П)</t>
  </si>
  <si>
    <t>978-5-16-017620-8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</si>
  <si>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38.02.03 «Операционная деятельность в логистике» (протокол № 4 от 13.04.2022)</t>
  </si>
  <si>
    <t>734789.07.01</t>
  </si>
  <si>
    <t>Базы данных и их безопасность: Уч.пос. / Ю.В.Полищук - М.:НИЦ ИНФРА-М,2026 - 210 с.(СПО)(П)</t>
  </si>
  <si>
    <t>БАЗЫ ДАННЫХ И ИХ БЕЗОПАСНОСТЬ</t>
  </si>
  <si>
    <t>Полищук Ю.В., Боровский А.С.</t>
  </si>
  <si>
    <t>978-5-16-016151-8</t>
  </si>
  <si>
    <t>09.01.03, 09.02.01, 09.02.04, 09.02.06, 09.02.07, 09.02.09, 10.02.01, 10.02.02, 10.02.03, 11.02.12, 51.02.03, 09.02.10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</si>
  <si>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09.00.00 «Информатика и вычислительная техника», 10.00.00 «Информационная безопасность» (протокол № 8 от 22.06.2020)</t>
  </si>
  <si>
    <t>Оренбургский государственный университет</t>
  </si>
  <si>
    <t>52</t>
  </si>
  <si>
    <t>682830.08.01</t>
  </si>
  <si>
    <t>Базы данных. Практ.прим.СУБД SQL- и NoSOL..: Уч.пос. / С.А.Мартишин - М.:ИД ФОРУМ,НИЦ ИНФРА-М,2026 - 368 с.(СПО)(П)</t>
  </si>
  <si>
    <t>БАЗЫ ДАННЫХ. ПРАКТИЧЕСКОЕ ПРИМЕНЕНИЕ СУБД SQL- И NOSOL-ТИПА ДЛЯ ПРИМЕНЕНИЯ ПРОЕКТИРОВАНИЯ ИНФОРМАЦИОННЫХ СИСТЕМ</t>
  </si>
  <si>
    <t>Мартишин С.А., Симонов В.Л., Храпченко М.В.</t>
  </si>
  <si>
    <t>978-5-8199-0785-6</t>
  </si>
  <si>
    <t>09.01.03, 09.01.04, 09.01.05, 09.02.01, 09.02.02, 09.02.03, 09.02.04, 09.02.05, 09.02.06, 09.02.07, 09.02.09, 10.02.01, 10.02.02, 10.02.03, 10.02.04, 11.02.12, 51.02.03, 09.02.10</t>
  </si>
  <si>
    <t>Рекомендовано Учебно-методическим советом СПО в качестве учебного пособия для учебных заведений, реализующих программу среднего профессионального образования по специальностям УГС 09.02.00 «Информатика и вычислительная техника»</t>
  </si>
  <si>
    <t>Институт системного программирования Российской академии наук</t>
  </si>
  <si>
    <t>719616.04.01</t>
  </si>
  <si>
    <t>Базы данных: Работа с распределенными базами данных...: Уч.пос./ С.А. Мартишин,М. : ИНФРА-М, 2023.-235с(П)</t>
  </si>
  <si>
    <t>БАЗЫ ДАННЫХ: РАБОТА С РАСПРЕДЕЛЕННЫМИ БАЗАМИ ДАННЫХ И ФАЙЛОВЫМИ СИСТЕМАМИ НА ПРИМЕРЕ MONGODB И HDFS С ИСПОЛЬЗОВАНИЕМ NODE.JS, EXPRESS.JS, APACHE SPARK И SCALA</t>
  </si>
  <si>
    <t>978-5-16-015643-9</t>
  </si>
  <si>
    <t>09.01.03, 09.02.01, 10.02.03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</si>
  <si>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09.02.00 «Информатика и вычислительная техника» (протокол № 12 от 24.06.2019)</t>
  </si>
  <si>
    <t>684990.08.01</t>
  </si>
  <si>
    <t>Базы данных: Уч. / Л.И.Шустова - М.:НИЦ ИНФРА-М,2026 - 304 с.(СПО)(П)</t>
  </si>
  <si>
    <t>БАЗЫ ДАННЫХ</t>
  </si>
  <si>
    <t>Шустова Л.И., Тараканов О.В.</t>
  </si>
  <si>
    <t>978-5-16-014161-9</t>
  </si>
  <si>
    <t>09.01.03, 09.02.01, 09.02.02, 09.02.03, 09.02.04, 09.02.05, 10.02.01, 10.02.03, 11.02.12, 51.02.03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</si>
  <si>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09.02.01 «Компьютерные системы и комплексы», 09.02.02 «Компьютерные сети», 09.02.03 «Программирование в компьютерных системах», 09.02.04 «Информационные системы (по отраслям)», 09.02.05 «Прикладная информатика (по отраслям)»</t>
  </si>
  <si>
    <t>731820.01.01</t>
  </si>
  <si>
    <t>Базы данных: Уч.пос. / О.В.Исаченко - М.:НИЦ ИНФРА-М,2025. - 202 с.-(СПО)(п)</t>
  </si>
  <si>
    <t>Исаченко О.В.</t>
  </si>
  <si>
    <t>978-5-16-016506-6</t>
  </si>
  <si>
    <t>09.02.01, 10.02.01, 10.02.03, 11.02.12, 51.02.03</t>
  </si>
  <si>
    <t>Московский педагогический государственный университет</t>
  </si>
  <si>
    <t>682831.09.01</t>
  </si>
  <si>
    <t>Базы данных: Уч.пос. / О.Л.Голицына - 4 изд. - М.:Форум, НИЦ ИНФРА-М,2025 - 400 с.-(СПО)(П)</t>
  </si>
  <si>
    <t>БАЗЫ ДАННЫХ, ИЗД.4</t>
  </si>
  <si>
    <t>Голицына О.Л., Максимов Н.В., Попов И.И.</t>
  </si>
  <si>
    <t>978-5-00091-601-8</t>
  </si>
  <si>
    <t>09.01.03, 09.02.01, 09.02.02, 09.02.03, 09.02.04, 09.02.05, 09.02.06, 09.02.07, 09.02.09, 10.02.01, 10.02.03, 11.02.12, 51.02.03, 09.02.10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</si>
  <si>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09.02.00 «Информатика и вычислительная техника»</t>
  </si>
  <si>
    <t>0419</t>
  </si>
  <si>
    <t>061750.12.01</t>
  </si>
  <si>
    <t>Банковские операции: Уч. / А.В.Печникова - 2 изд. - М.:ИД ФОРУМ, НИЦ ИНФРА-М,2023-336с.(ПО)</t>
  </si>
  <si>
    <t>БАНКОВСКИЕ ОПЕРАЦИИ, ИЗД.2</t>
  </si>
  <si>
    <t>Печникова А.В., Маркова О.М., Стародубцева Е.Б.</t>
  </si>
  <si>
    <t>978-5-8199-0578-4</t>
  </si>
  <si>
    <t>Допущено Министерством образования РФ в качестве учебника для студентов общеобразовательных учреждений среднего профессионального образования</t>
  </si>
  <si>
    <t>061750.13.01</t>
  </si>
  <si>
    <t>Банковские операции: Уч. / Е.Б.Стародубцева, - 3 изд. - М.:НИЦ ИНФРА-М,2025. - 303 с.(СПО (ФинУн))(п)</t>
  </si>
  <si>
    <t>БАНКОВСКИЕ ОПЕРАЦИИ, ИЗД.3</t>
  </si>
  <si>
    <t>Стародубцева Е.Б., Маркова О.М.</t>
  </si>
  <si>
    <t>978-5-16-018159-2</t>
  </si>
  <si>
    <t>Допущено Министерством науки и высшего образования Российской Федерации в качестве учебника для студентов образовательных учреждений среднего профессионального образования</t>
  </si>
  <si>
    <t>0323</t>
  </si>
  <si>
    <t>081800.10.01</t>
  </si>
  <si>
    <t>Банковские операции: Уч. пос. / Под ред. Ю.И.Коробова - М.: Магистр:НИЦ ИНФРА-М,2023 - 448 с.(СПО)(П)</t>
  </si>
  <si>
    <t>БАНКОВСКИЕ ОПЕРАЦИИ</t>
  </si>
  <si>
    <t>Коробова Г. Г., Нестеренко Е. А., Карпова Р. А., Коробов Ю. И.</t>
  </si>
  <si>
    <t>Магистр</t>
  </si>
  <si>
    <t>Колледж</t>
  </si>
  <si>
    <t>978-5-9776-0007-1</t>
  </si>
  <si>
    <t>38.01.02, 38.02.01, 38.02.06, 38.02.07, 43.01.05</t>
  </si>
  <si>
    <t>Допущено Министерством образования РФ в качестве учебного пособия для студентов учреждений среднего профессионального образования, обучающихся по специальности 0601 "Экономика и бухгалтерский учет" (по отраслям)</t>
  </si>
  <si>
    <t>Саратовский государственный технический университет им. Гагарина Ю.А., ф-л Саратовский социально-экономический институт</t>
  </si>
  <si>
    <t>0107</t>
  </si>
  <si>
    <t>683239.02.01</t>
  </si>
  <si>
    <t>Банковское право Российской Федерации: уч. / Е.Ю.Грачева-М.:Юр.Норма, НИЦ ИНФРА-М,2018.-368 с..-(СПО)(П 7БЦ)</t>
  </si>
  <si>
    <t>БАНКОВСКОЕ ПРАВО РОССИЙСКОЙ ФЕДЕРАЦИИ</t>
  </si>
  <si>
    <t>Грачева Е.Ю.</t>
  </si>
  <si>
    <t>978-5-91768-925-8</t>
  </si>
  <si>
    <t>38.01.03, 38.02.06, 38.02.07</t>
  </si>
  <si>
    <t>683239.06.01</t>
  </si>
  <si>
    <t>Банковское право РФ: Уч. / Е.Ю.Грачева - 2 изд. - М.:Юр.Норма, НИЦ ИНФРА-М,2025 - 336 с.-(П)</t>
  </si>
  <si>
    <t>БАНКОВСКОЕ ПРАВО РОССИЙСКОЙ ФЕДЕРАЦИИ, ИЗД.2</t>
  </si>
  <si>
    <t>978-5-00156-139-2</t>
  </si>
  <si>
    <t>0221</t>
  </si>
  <si>
    <t>702283.03.01</t>
  </si>
  <si>
    <t>Безопасность в туризме: Уч.пос./ А.П.Бгатов - 2 изд. - М.:Форум,НИЦ ИНФРА-М,2023 - 175 с.(СПО) (П)</t>
  </si>
  <si>
    <t>БЕЗОПАСНОСТЬ В ТУРИЗМЕ, ИЗД.2</t>
  </si>
  <si>
    <t>Бгатов А.П.</t>
  </si>
  <si>
    <t>978-5-00091-655-1</t>
  </si>
  <si>
    <t>43.02.16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</si>
  <si>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43.02.10 «Туризм» (протокол № 8 от 29.04.2019)</t>
  </si>
  <si>
    <t>Российская международная академия туризма, Московский ф-л</t>
  </si>
  <si>
    <t>378600.15.01</t>
  </si>
  <si>
    <t>Безопасность дорожного движения: Уч.пос. / А.А.Беженцев - М.:Вуз. уч., НИЦ ИНФРА-М,2024 - 272 с.(П)</t>
  </si>
  <si>
    <t>БЕЗОПАСНОСТЬ ДОРОЖНОГО ДВИЖЕНИЯ</t>
  </si>
  <si>
    <t>Беженцев А.А.</t>
  </si>
  <si>
    <t>978-5-9558-0569-6</t>
  </si>
  <si>
    <t>23.01.04, 23.02.01</t>
  </si>
  <si>
    <t>Российская академия народного хозяйства и государственной службы при Президенте РФ, ф-л Северо-Западный институт управления</t>
  </si>
  <si>
    <t>378600.16.01</t>
  </si>
  <si>
    <t>Безопасность дорожного движения: Уч.пос. / А.А.Беженцев, - 2 изд. - М.:НИЦ ИНФРА-М,2025. - 320 с.(СПО)(п)</t>
  </si>
  <si>
    <t>БЕЗОПАСНОСТЬ ДОРОЖНОГО ДВИЖЕНИЯ, ИЗД.2</t>
  </si>
  <si>
    <t>978-5-16-020115-3</t>
  </si>
  <si>
    <t>Январь, 2025</t>
  </si>
  <si>
    <t>682834.02.01</t>
  </si>
  <si>
    <t>Безопасность жизнедеят. предпр. легкой и...: Уч.пос. / П.Н.Умняков - 3 изд.-М.:Форум, НИЦ ИНФРА-М,2023-207с(П)</t>
  </si>
  <si>
    <t>БЕЗОПАСНОСТЬ ЖИЗНЕДЕЯТЕЛЬНОСТИ ПРЕДПРИЯТИЯ ЛЕГКОЙ И ТЕКСТИЛЬНОЙ ПРОМЫШЛЕННОСТИ, ИЗД.3</t>
  </si>
  <si>
    <t>Умняков П.Н., Смирнов В.А., Свищев Г.А.</t>
  </si>
  <si>
    <t>978-5-00091-539-4</t>
  </si>
  <si>
    <t>00.02.01, 29.01.01, 29.01.03, 29.01.04, 29.01.06, 29.01.09, 29.01.10, 29.01.11, 29.01.12, 29.01.13, 29.01.14, 29.01.15, 29.01.18, 29.01.19, 29.01.20, 29.01.21, 29.01.22, 29.01.23, 29.01.28, 29.01.30, 29.01.31, 29.01.32, 29.01.33, 29.01.34, 29.01.35, 29.01.36, 29.02.02, 29.02.05, 29.02.08, 29.02.10, 29.02.11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</si>
  <si>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29.02.00 «Технологии легкой промышленности» (протокол № 3 от 17.02.2020)</t>
  </si>
  <si>
    <t>0320</t>
  </si>
  <si>
    <t>690050.09.01</t>
  </si>
  <si>
    <t>Безопасность жизнедеятельности. Практ.: Уч.пос. / В.А.Бондаренко - М.:ИЦ РИОР,НИЦ ИНФРА-М,2025 - 150 с.(СПО)(О)</t>
  </si>
  <si>
    <t>БЕЗОПАСНОСТЬ ЖИЗНЕДЕЯТЕЛЬНОСТИ. ПРАКТИКУМ</t>
  </si>
  <si>
    <t>Бондаренко В.А., Евтушенко С.И., Лепихова В.А. и др.</t>
  </si>
  <si>
    <t>978-5-369-01794-4</t>
  </si>
  <si>
    <t>Естественные науки в целом</t>
  </si>
  <si>
    <t>00.01.01, 00.02.01, 05.01.01, 05.02.03, 08.01.30, 08.02.13, 09.01.05, 20.02.02, 20.02.04, 20.02.05, 21.01.03, 21.02.09, 21.02.10, 21.02.11, 21.02.12, 21.02.13, 21.02.15, 21.02.16, 21.02.17, 21.02.18, 21.02.19, 21.02.20, 23.01.17, 23.02.07, 24.02.02, 26.01.01, 26.02.02, 26.02.03, 26.02.05, 26.02.06, 27.02.04, 27.02.05, 27.02.07, 34.02.01, 35.01.05, 35.01.06, 35.01.15, 35.01.28, 39.02.01, 39.02.03, 46.02.01, 49.02.01, 55.02.01, 55.02.02</t>
  </si>
  <si>
    <t>682837.03.01</t>
  </si>
  <si>
    <t>Безопасность жизнедеятельности...: Уч.пос. / М.Г.Оноприенко-М.:НИЦ ИНФРА-М,2023-400 с.(СПО)(П)</t>
  </si>
  <si>
    <t>БЕЗОПАСНОСТЬ ЖИЗНЕДЕЯТЕЛЬНОСТИ. ЗАЩИТА ТЕРРИТОРИЙ И ОБЪЕКТОВ ЭКОНОМИКИ В ЧРЕЗВЫЧАЙНЫХ СИТУАЦИЯХ</t>
  </si>
  <si>
    <t>Оноприенко М.Г.</t>
  </si>
  <si>
    <t>978-5-16-016654-4</t>
  </si>
  <si>
    <t>00.01.01, 00.02.01, 34.02.02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</si>
  <si>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программы среднего профессионального образования (протокол № 8 от 22.06.2020)</t>
  </si>
  <si>
    <t>Сочинский государственный университет</t>
  </si>
  <si>
    <t>653223.09.01</t>
  </si>
  <si>
    <t>Безопасность жизнедеятельности: Уч. / В.П.Мельников и др. - М.:КУРС, НИЦ ИНФРА-М,2024-368 с.(П)</t>
  </si>
  <si>
    <t>БЕЗОПАСНОСТЬ ЖИЗНЕДЕЯТЕЛЬНОСТИ</t>
  </si>
  <si>
    <t>Мельников В.П., Куприянов А.И., Назаров А.В.</t>
  </si>
  <si>
    <t>978-5-906923-11-0</t>
  </si>
  <si>
    <t>Науки о Земле. Экология</t>
  </si>
  <si>
    <t>00.02.01, 09.02.02, 09.02.03, 09.02.04, 09.02.05, 09.02.07, 23.02.07, 24.01.01, 24.02.01, 26.02.02, 26.02.03, 26.02.05, 26.02.06</t>
  </si>
  <si>
    <t>Московский авиационный институт (национальный исследовательский университет)</t>
  </si>
  <si>
    <t>683283.04.01</t>
  </si>
  <si>
    <t>Безопасность жизнедеятельности: Уч.пос. / Л.Л.Никифоров - М.:НИЦ ИНФРА-М,2023 - 297 с.-(СПО)(П)</t>
  </si>
  <si>
    <t>Никифоров Л.Л., Персиянов В.В.</t>
  </si>
  <si>
    <t>978-5-16-014043-8</t>
  </si>
  <si>
    <t>00.01.01, 00.02.01, 36.02.01, 36.02.03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</si>
  <si>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36.02.01 «Ветеринария», 36.02.02 «Зоотехния»</t>
  </si>
  <si>
    <t>683283.05.01</t>
  </si>
  <si>
    <t>Безопасность жизнедеятельности: Уч.пос. / Л.Л.Никифоров, - 2  изд. - М.:НИЦ ИНФРА-М,2026. - 346 с.(СПО)(п)</t>
  </si>
  <si>
    <t>БЕЗОПАСНОСТЬ ЖИЗНЕДЕЯТЕЛЬНОСТИ, ИЗД.2</t>
  </si>
  <si>
    <t>978-5-16-020981-4</t>
  </si>
  <si>
    <t>0226</t>
  </si>
  <si>
    <t>757868.07.01</t>
  </si>
  <si>
    <t>Безопасность жизнедеятельности: Уч.пос. / Под ред. Халилова Ш.А. - М.:НИЦ ИНФРА-М,2026. - 576 с.(СПО)(п)</t>
  </si>
  <si>
    <t>Халилов Ш.А., Маликов А.Н., Гневанов В.П. и др.</t>
  </si>
  <si>
    <t>978-5-16-021211-1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</si>
  <si>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профессиональную программу среднего профессионального образования (протокол № 11 от 09.11.2020)</t>
  </si>
  <si>
    <t>Саратовский государственный технический университет им. Гагарина Ю.А.</t>
  </si>
  <si>
    <t>708643.02.01</t>
  </si>
  <si>
    <t>Безопасность жизнедеятельности: Уч.пос. / Ю.Н.Сычев - М.:НИЦ ИНФРА-М,2022 - 204 с.-(СПО)(П)</t>
  </si>
  <si>
    <t>Сычев Ю.Н.</t>
  </si>
  <si>
    <t>978-5-16-015260-8</t>
  </si>
  <si>
    <t>00.01.01, 00.02.01, 14.02.02, 26.02.04, 38.02.02, 40.02.04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</si>
  <si>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(протокол № 4 от 25.02.2019)</t>
  </si>
  <si>
    <t>708643.07.01</t>
  </si>
  <si>
    <t>Безопасность жизнедеятельности: Уч.пос. / Ю.Н.Сычев, - 2 изд. - М.:НИЦ ИНФРА-М,2026. - 225 с.(СПО)(п)</t>
  </si>
  <si>
    <t>978-5-16-018956-7</t>
  </si>
  <si>
    <t>839083.01.01</t>
  </si>
  <si>
    <t>Бизнес-планирование: прак. по использовани с исп. Project..: Уч.пос./В.С.Алиев-3изд-ИНФРА-М,2025-287с(СПО)(п)</t>
  </si>
  <si>
    <t>БИЗНЕС-ПЛАНИРОВАНИЕ: ПРАКТИКУМ С ИСПОЛЬЗОВАНИЕМ ПРОГРАММЫ PROJECT EXPERT, ИЗД.3</t>
  </si>
  <si>
    <t>Алиев В.С.</t>
  </si>
  <si>
    <t>978-5-16-020241-9</t>
  </si>
  <si>
    <t>19.02.13, 38.02.01, 43.02.16</t>
  </si>
  <si>
    <t>682838.06.01</t>
  </si>
  <si>
    <t>Бизнес-планирование: Уч. / Под ред. Попадюк Т.Г. - М.:Вуз. уч., НИЦ ИНФРА-М,2025 - 296 с.(СПО)(П)</t>
  </si>
  <si>
    <t>БИЗНЕС-ПЛАНИРОВАНИЕ</t>
  </si>
  <si>
    <t>Горфинкель В.Я., Захаров П.Н. и др.</t>
  </si>
  <si>
    <t>978-5-9558-0617-4</t>
  </si>
  <si>
    <t>08.01.27, 08.01.28, 38.02.01, 38.02.02, 38.02.03, 38.02.06, 38.02.07, 38.02.08</t>
  </si>
  <si>
    <t>Рекомендовано Учебно-методическим советом СПО в качестве учебника  для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38.02.04 «Коммерция (по отраслям)», 38.02.06 «Финансы»</t>
  </si>
  <si>
    <t>682839.07.01</t>
  </si>
  <si>
    <t>Бизнес-планирование: Уч.пос. / А.С.Волков - М.:ИЦ РИОР, НИЦ ИНФРА-М,2025. - 81 с.(СПО)(о)</t>
  </si>
  <si>
    <t>Волков А.С., Марченко А.А.</t>
  </si>
  <si>
    <t>978-5-369-01764-7</t>
  </si>
  <si>
    <t>041940.20.01</t>
  </si>
  <si>
    <t>Бизнес-планирование: Уч.пос. / В.А.Баринов - 4 изд. - М.:Форум,НИЦ ИНФРА-М,2025 - 272 с.(СПО)(О)</t>
  </si>
  <si>
    <t>БИЗНЕС-ПЛАНИРОВАНИЕ, ИЗД.4</t>
  </si>
  <si>
    <t>Баринов В. А.</t>
  </si>
  <si>
    <t>978-5-00091-082-5</t>
  </si>
  <si>
    <t>08.01.27, 08.01.28, 26.02.02, 38.02.01, 38.02.03, 38.02.06, 38.02.07, 38.02.08</t>
  </si>
  <si>
    <t>Допущено Мин. обр. и науки РФ в качестве учебного пособия для студентов учреждений среднего профессионального образования</t>
  </si>
  <si>
    <t>079570.11.01</t>
  </si>
  <si>
    <t>Бизнес-планирование: Уч.пос. / В.А.Морошкин - 2 изд. - М.:НИЦ ИНФРА-М,2025 - 288 с. - (СПО)(П)</t>
  </si>
  <si>
    <t>БИЗНЕС-ПЛАНИРОВАНИЕ, ИЗД.2</t>
  </si>
  <si>
    <t>Морошкин В. А., Буров В. П.</t>
  </si>
  <si>
    <t>978-5-16-012223-6</t>
  </si>
  <si>
    <t>Допущено Министерством образования и науки Российской Федерации в качестве учебного пособия для студентов образовательных учреждений среднего профессионального образования</t>
  </si>
  <si>
    <t>079590.17.01</t>
  </si>
  <si>
    <t>Бизнес-планирование: Уч.пос. / М.В.Романова - М.:ИД Форум, НИЦ ИНФРА-М,2026 - 240 с.(ПО)(П)</t>
  </si>
  <si>
    <t>Романова М.В.</t>
  </si>
  <si>
    <t>Профессиональное образование</t>
  </si>
  <si>
    <t>978-5-8199-0756-6</t>
  </si>
  <si>
    <t>Допущено Министерством образования РФ в качестве учебного пособия для студентов образовательных учреждений среднего профессионального образования, обучающихся по группе специальностей 0600 "Экономика и управление"</t>
  </si>
  <si>
    <t>785884.02.01</t>
  </si>
  <si>
    <t>Биоконверсия вторич. сырья и отходов агропромыш...: Уч.пос. / О.Д.Сидоренко-М.:НИЦ ИНФРА-М,2023.-171 с.(СПО)(п)</t>
  </si>
  <si>
    <t>БИОКОНВЕРСИЯ ВТОРИЧНОГО СЫРЬЯ И ОТХОДОВ АГРОПРОМЫШЛЕННОГО КОМПЛЕКСА</t>
  </si>
  <si>
    <t>Сидоренко О.Д.</t>
  </si>
  <si>
    <t>978-5-16-017906-3</t>
  </si>
  <si>
    <t>19.01.01, 19.02.14, 19.02.15, 35.02.05</t>
  </si>
  <si>
    <t>757940.01.01</t>
  </si>
  <si>
    <t>Биологические методы контроля продукции живот. происхож.: Уч. / О.Д.Сидоренко-М.:НИЦ ИНФРА-М,2021.-164 с.(П)</t>
  </si>
  <si>
    <t>БИОЛОГИЧЕСКИЕ МЕТОДЫ КОНТРОЛЯ ПРОДУКЦИИ ЖИВОТНОГО ПРОИСХОЖДЕНИЯ</t>
  </si>
  <si>
    <t>978-5-16-016943-9</t>
  </si>
  <si>
    <t>19.02.10, 19.02.11, 19.02.12, 36.02.01, 36.02.03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</si>
  <si>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19.02.01 «Биохимическое производство», 19.02.10 «Технология продукции общественного питания», 19.02.07 «Технология молока и молочных продуктов», 19.02.08 «Технология мяса и мясных продуктов», 35.02.06 «Технология производства и переработки сельскохозяйственной продукции» (протокол № 11 от 09.11.2020)</t>
  </si>
  <si>
    <t>069990.06.01</t>
  </si>
  <si>
    <t>Биология с основами экологии: Уч.пос./ Л.Г.Ахмадуллина-М.:ИЦ РИОР, НИЦ ИНФРА-М,2018.-128с(О)</t>
  </si>
  <si>
    <t>БИОЛОГИЯ С ОСНОВАМИ ЭКОЛОГИИ</t>
  </si>
  <si>
    <t>Ахмадуллина Л. Г.</t>
  </si>
  <si>
    <t>Карманное учебное пособие</t>
  </si>
  <si>
    <t>978-5-9557-0288-9</t>
  </si>
  <si>
    <t>05.03.03, 05.03.04, 05.03.06, 06.03.01, 06.03.02</t>
  </si>
  <si>
    <t>692030.06.01</t>
  </si>
  <si>
    <t>Биомедицинская этика: Уч.пос. / А.Л.Панищев - М.:НИЦ ИНФРА-М,2024 - 172 с.-(СПО)(П)</t>
  </si>
  <si>
    <t>БИОМЕДИЦИНСКАЯ ЭТИКА</t>
  </si>
  <si>
    <t>Панищев А.Л.</t>
  </si>
  <si>
    <t>978-5-16-014596-9</t>
  </si>
  <si>
    <t>31.02.01, 31.02.02, 31.02.03, 31.02.04, 31.02.05, 31.02.06, 33.02.01, 34.01.01, 34.02.01, 34.02.02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</si>
  <si>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реализующих программу среднего профессионального образования по укрупненной группе специальностей 31.02.00 «Клиническая медицина» (протокол № 9 от 13.05.2019)</t>
  </si>
  <si>
    <t>Юго-Западный государственный университет</t>
  </si>
  <si>
    <t>692030.07.01</t>
  </si>
  <si>
    <t>Биомедицинская этика: Уч.пос. / А.Л.Панищев, - 2 изд. - М.:НИЦ ИНФРА-М,2025. - 193 с.(СПО)(п)</t>
  </si>
  <si>
    <t>БИОМЕДИЦИНСКАЯ ЭТИКА, ИЗД.2</t>
  </si>
  <si>
    <t>978-5-16-020109-2</t>
  </si>
  <si>
    <t>Февраль, 2025</t>
  </si>
  <si>
    <t>682841.06.01</t>
  </si>
  <si>
    <t>Биотехника воспр. с основ. акушер. животных. Практ.: Уч.пос. / В.С.Авдеенко-М.:НИЦ ИНФРА-М,2024.-155 с.(СПО)(П)</t>
  </si>
  <si>
    <t>БИОТЕХНИКА ВОСПРОИЗВОДСТВА С ОСНОВАМИ АКУШЕРСТВА ЖИВОТНЫХ. ПРАКТИКУМ</t>
  </si>
  <si>
    <t>Авдеенко В.С., Федотов С.В.</t>
  </si>
  <si>
    <t>978-5-16-013896-1</t>
  </si>
  <si>
    <t>35.01.01, 35.02.14, 36.02.03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</si>
  <si>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36.02.02 «Зоотехния»</t>
  </si>
  <si>
    <t>Саратовский государственный университет генетики, биотехнологии и инженерии имени Н.И. Вавилова</t>
  </si>
  <si>
    <t>682840.07.01</t>
  </si>
  <si>
    <t>Биотехника воспроизводства с основами акушер.: Уч. / В.С.Авдеенко-М.:НИЦ ИНФРА-М,2024.-454 с.(СПО)(п)</t>
  </si>
  <si>
    <t>БИОТЕХНИКА ВОСПРОИЗВОДСТВА С ОСНОВАМИ АКУШЕРСТВА</t>
  </si>
  <si>
    <t>978-5-16-013895-4</t>
  </si>
  <si>
    <t>35.01.01, 35.01.23, 35.02.09, 36.01.02, 36.01.03, 36.02.01, 36.02.03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</si>
  <si>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специальности 36.02.02 «Зоотехния»</t>
  </si>
  <si>
    <t>730828.06.01</t>
  </si>
  <si>
    <t>Биотехнология. Практ. по культивир. клеточ. культур: Уч.пос. / М.Ш.Азаев - М.:НИЦ ИНФРА-М,2025-142с(П)</t>
  </si>
  <si>
    <t>БИОТЕХНОЛОГИЯ. ПРАКТИКУМ ПО КУЛЬТИВИРОВАНИЮ КЛЕТОЧНЫХ КУЛЬТУР</t>
  </si>
  <si>
    <t>Азаев М.Ш., Ильичева Т.Н., Бакулина Л.Ф. и др.</t>
  </si>
  <si>
    <t>978-5-16-015953-9</t>
  </si>
  <si>
    <t>00.02.17, 19.01.01, 19.02.15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</si>
  <si>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19.02.01 «Биохимическое производство» (протокол № 14 от 30.09.2019)</t>
  </si>
  <si>
    <t>Государственный научный центр вирусологии и биотехнологии «Вектор» Роспотребнадзора</t>
  </si>
  <si>
    <t>705917.04.01</t>
  </si>
  <si>
    <t>Бортовые источ. и накопители энергии...: Уч. / Е.М.Овсянников - 2 изд. - М.:ФОРУМ : ИНФРА-М, 2024-280с(П)</t>
  </si>
  <si>
    <t>БОРТОВЫЕ ИСТОЧНИКИ И НАКОПИТЕЛИ ЭНЕРГИИ АВТОТРАНСПОРТНЫХ СРЕДСТВ С ТЯГОВЫМИ ЭЛЕКТРОПРИВОДАМИ, ИЗД.2</t>
  </si>
  <si>
    <t>Овсянников Е.М.</t>
  </si>
  <si>
    <t>978-5-00091-676-6</t>
  </si>
  <si>
    <t>23.02.02, 23.02.03, 23.02.05</t>
  </si>
  <si>
    <t>Рекомендовано Межрегиональным учебно-методическим советом профессионального образования в качестве учебника для  использования в учебном процессе образовательных учреждений, реализующих программу СПО по специальности 23.00.00 "Техника и технологии наземного транспорта" (протокол № 7 от 08.06.2020)</t>
  </si>
  <si>
    <t>842462.01.01</t>
  </si>
  <si>
    <t>Ботаника с основами физиологии растений: Уч.пос. / В.И.Полонский - М.:НИЦ ИНФРА-М,2025.-366 с.(СПО (КрГАУ))(п)</t>
  </si>
  <si>
    <t>БОТАНИКА С ОСНОВАМИ ФИЗИОЛОГИИ РАСТЕНИЙ</t>
  </si>
  <si>
    <t>Полонский В.И., Карпюк Т.В.</t>
  </si>
  <si>
    <t>978-5-16-020346-1</t>
  </si>
  <si>
    <t>35.02.05, 35.02.12, 43.01.11</t>
  </si>
  <si>
    <t>Красноярский Государственный Аграрный Университет</t>
  </si>
  <si>
    <t>735063.05.01</t>
  </si>
  <si>
    <t>Ботаника: Уч.пос. / Н.В.Корягина - М.:НИЦ ИНФРА-М,2025 - 351 с.-(СПО)(П)</t>
  </si>
  <si>
    <t>БОТАНИКА</t>
  </si>
  <si>
    <t>Корягина Н.В., Корягин Ю.В.</t>
  </si>
  <si>
    <t>978-5-16-016161-7</t>
  </si>
  <si>
    <t>33.02.01, 35.01.19, 35.02.01, 35.02.05, 35.02.12, 43.01.11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</si>
  <si>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35.02.00 «Сельское, лесное и рыбное хозяйство» (протокол № 5 от 16.03.2020)</t>
  </si>
  <si>
    <t>Пензенский государственный аграрный университет</t>
  </si>
  <si>
    <t>704421.09.01</t>
  </si>
  <si>
    <t>Бухгалтерская тех.провед.и оформ. инвентар.: Уч.пос. / Н.А.Качан, - 2 изд. - М.:НИЦ ИНФРА-М,2026 - 137 с.(о)</t>
  </si>
  <si>
    <t>БУХГАЛТЕРСКАЯ ТЕХНОЛОГИЯ ПРОВЕДЕНИЯ И ОФОРМЛЕНИЯ ИНВЕНТАРИЗАЦИИ, ИЗД.2</t>
  </si>
  <si>
    <t>Качан Н.А.</t>
  </si>
  <si>
    <t>978-5-16-015096-3</t>
  </si>
  <si>
    <t>Рекомендовано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</t>
  </si>
  <si>
    <t>Белгородский университет кооперации, экономики и права</t>
  </si>
  <si>
    <t>712542.10.01</t>
  </si>
  <si>
    <t>Бухгалтерская технология провед. и оформл...: Уч. / М.Д.Акатьева - М.:НИЦ ИНФРА-М,2025 - 208 с.(СПО)(П)</t>
  </si>
  <si>
    <t>БУХГАЛТЕРСКАЯ ТЕХНОЛОГИЯ ПРОВЕДЕНИЯ И ОФОРМЛЕНИЯ ИНВЕНТАРИЗАЦИИ</t>
  </si>
  <si>
    <t>Акатьева М.Д.</t>
  </si>
  <si>
    <t>978-5-16-015454-1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</si>
  <si>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 (протокол № 17 от 11.11.2019)</t>
  </si>
  <si>
    <t>693052.08.01</t>
  </si>
  <si>
    <t>Бухгалтерские проводки: Уч.пос. / А.М.Сайгидмагомедов, - 2 изд. - М.:Форум, НИЦ ИНФРА-М,2025 - 325 с.(СПО)(П)</t>
  </si>
  <si>
    <t>БУХГАЛТЕРСКИЕ ПРОВОДКИ, ИЗД.2</t>
  </si>
  <si>
    <t>Сайгидмагомедов А.М., Акаева А.С.</t>
  </si>
  <si>
    <t>978-5-00091-629-2</t>
  </si>
  <si>
    <t>38.02.01, 38.02.03, 38.02.07, 38.02.08</t>
  </si>
  <si>
    <t>Дагестанский государственный аграрный университет им. М.М. Джамбулатова</t>
  </si>
  <si>
    <t>761244.04.01</t>
  </si>
  <si>
    <t>Бухгалтерский учет в коммерческих орг.: Уч.пос. / М.В.Мельник - М.:Форум, НИЦ ИНФРА-М,2025 - 479 с.(СПО)(п)</t>
  </si>
  <si>
    <t>БУХГАЛТЕРСКИЙ УЧЕТ В КОММЕРЧЕСКИХ ОРГАНИЗАЦИЯХ</t>
  </si>
  <si>
    <t>Мельник М.В., Егорова С.Е., Кулакова Н.Г. и др.</t>
  </si>
  <si>
    <t>978-5-00091-759-6</t>
  </si>
  <si>
    <t>38.02.01, 38.02.03, 38.02.07, 38.02.08, 40.02.04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</si>
  <si>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экономическим специальностям (протокол № 2 от 17.02.2021)</t>
  </si>
  <si>
    <t>733123.03.01</t>
  </si>
  <si>
    <t>Бухгалтерский учет и анализ: Уч. / С.А.Сироткин - М.:НИЦ ИНФРА-М,2025 - 355 с.-(СПО)(П)</t>
  </si>
  <si>
    <t>БУХГАЛТЕРСКИЙ УЧЕТ И АНАЛИЗ</t>
  </si>
  <si>
    <t>Сироткин С.А., Кельчевская Н.Р.</t>
  </si>
  <si>
    <t>978-5-16-016048-1</t>
  </si>
  <si>
    <t>11.02.12, 19.02.10, 29.02.05, 35.01.23, 35.01.24, 38.01.02, 38.02.01, 38.02.03, 38.02.06, 38.02.07, 38.02.08, 40.02.04, 43.01.09, 43.02.01, 43.02.11, 51.02.02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</si>
  <si>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 (протокол № 8 от 22.06.2020)</t>
  </si>
  <si>
    <t>Уральский федеральный университет им. первого Президента России Б.Н. Ельцина</t>
  </si>
  <si>
    <t>693009.04.01</t>
  </si>
  <si>
    <t>Бухгалтерский учет: теория и практика: Уч. / Т.В.Миршук - М.:НИЦ ИНФРА-М,2025 - 182 с.(СПО)(П)</t>
  </si>
  <si>
    <t>БУХГАЛТЕРСКИЙ УЧЕТ: ТЕОРИЯ И ПРАКТИКА</t>
  </si>
  <si>
    <t>Миршук Т.В.</t>
  </si>
  <si>
    <t>978-5-16-015121-2</t>
  </si>
  <si>
    <t>11.02.12, 29.02.05, 35.01.23, 35.01.24, 38.01.02, 38.02.01, 38.02.02, 38.02.03, 38.02.06, 38.02.07, 38.02.08, 40.02.04, 43.01.09, 43.02.01, 43.02.16, 51.02.02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</si>
  <si>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38.02.01 «Экономика и управление» (протокол № 8 от 22.06.2020)</t>
  </si>
  <si>
    <t>070800.11.01</t>
  </si>
  <si>
    <t>Бухгалтерский учет: Уч. / Н.А.Лытнева и др., - 3 изд. - М.:НИЦ ИНФРА-М,2025. - 535 с.(СПО)(п)</t>
  </si>
  <si>
    <t>БУХГАЛТЕРСКИЙ УЧЕТ, ИЗД.3</t>
  </si>
  <si>
    <t>Лытнева Н.А., Малявкина Л.И., Федорова Т.В.</t>
  </si>
  <si>
    <t>978-5-16-019325-0</t>
  </si>
  <si>
    <t>11.02.12, 29.02.05, 35.01.23, 35.01.24, 38.01.02, 38.02.01, 38.02.03, 38.02.06, 38.02.07, 38.02.08, 40.02.04, 43.02.01, 51.02.02</t>
  </si>
  <si>
    <t>078500.13.01</t>
  </si>
  <si>
    <t>Бухгалтерский учет: Уч.пос. / Л.М.Бурмистрова - 4 изд. - М.:НИЦ ИНФРА-М,2022 - 304 с.-(СПО)(П)</t>
  </si>
  <si>
    <t>БУХГАЛТЕРСКИЙ УЧЕТ, ИЗД.4</t>
  </si>
  <si>
    <t>Бурмистрова Л.М.</t>
  </si>
  <si>
    <t>978-5-16-015682-8</t>
  </si>
  <si>
    <t>11.02.12, 29.02.05, 35.01.23, 35.01.24, 38.01.02, 38.02.01, 38.02.02, 38.02.03, 38.02.06, 38.02.07, 38.02.08, 40.02.04, 43.01.09, 43.02.01, 51.02.02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</si>
  <si>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экономическим специальностям (протокол № 11 от 09.11.2020)</t>
  </si>
  <si>
    <t>Аудиторская фирма "Аудит Вашего Бизнеса"</t>
  </si>
  <si>
    <t>078500.11.01</t>
  </si>
  <si>
    <t>Бухгалтерский учет: Уч.пос. / Л.М.Бурмистрова, - 3 изд.-М.:Форум, НИЦ ИНФРА-М,2020.-318 с..-(СПО)(О)</t>
  </si>
  <si>
    <t>978-5-91134-855-7</t>
  </si>
  <si>
    <t>Допущено Мин. обр. и науки РФ в качестве учебного пособия для студентов учреждений среднего профессионального образования, обучаюищхся по группе специальностей "Экономика и управление"</t>
  </si>
  <si>
    <t>078500.17.01</t>
  </si>
  <si>
    <t>Бухгалтерский учет: Уч.пос. / Л.М.Бурмистрова, - 5 изд. - М.:НИЦ ИНФРА-М,2024. - 315 с.(СПО (ФинУн))(п)</t>
  </si>
  <si>
    <t>БУХГАЛТЕРСКИЙ УЧЕТ, ИЗД.5</t>
  </si>
  <si>
    <t>978-5-16-019743-2</t>
  </si>
  <si>
    <t>0525</t>
  </si>
  <si>
    <t>712994.01.01</t>
  </si>
  <si>
    <t>Бюджетная система и система налогов и сборов РФ:Уч./Грачева Е.Ю.-М.:Юр.Норма,НИЦ ИНФРА-М,2019-272(П)</t>
  </si>
  <si>
    <t>БЮДЖЕТНАЯ СИСТЕМА И СИСТЕМА НАЛОГОВ И СБОРОВ РОССИЙСКОЙ ФЕДЕРАЦИИ</t>
  </si>
  <si>
    <t>Грачева Е.Ю., Болтинова О.В., Арзуманова Л.Л. и др.</t>
  </si>
  <si>
    <t>978-5-00156-009-8</t>
  </si>
  <si>
    <t>38.02.06, 40.02.02</t>
  </si>
  <si>
    <t>42</t>
  </si>
  <si>
    <t>712975.01.01</t>
  </si>
  <si>
    <t>Бюджетная система РФ: Уч. / Ф.И.Ниналалова - М.:НИЦ ИНФРА-М,2025. - 297 с.(СПО)(п)</t>
  </si>
  <si>
    <t>БЮДЖЕТНАЯ СИСТЕМА РОССИЙСКОЙ ФЕДЕРАЦИИ</t>
  </si>
  <si>
    <t>Ниналалова Ф.И.</t>
  </si>
  <si>
    <t>978-5-16-020442-0</t>
  </si>
  <si>
    <t>38.02.01, 38.02.06</t>
  </si>
  <si>
    <t>712995.01.01</t>
  </si>
  <si>
    <t>Бюджетное право: Уч.пос. / О.В.Болтинова - 3 изд. - М.:Юр.Норма,НИЦ ИНФРА-М,2019 - 256 с.-(СПО)(П)</t>
  </si>
  <si>
    <t>БЮДЖЕТНОЕ ПРАВО, ИЗД.3</t>
  </si>
  <si>
    <t>Болтинова О.В.</t>
  </si>
  <si>
    <t>978-5-00156-011-1</t>
  </si>
  <si>
    <t>38.02.01, 38.02.06, 38.02.07, 40.02.04</t>
  </si>
  <si>
    <t>712993.02.01</t>
  </si>
  <si>
    <t>Бюджетный контроль: Уч.пос. / О.В.Болтинова-М.:Юр.Норма, НИЦ ИНФРА-М,2023.-160 с.(СПО)(П)</t>
  </si>
  <si>
    <t>БЮДЖЕТНЫЙ КОНТРОЛЬ</t>
  </si>
  <si>
    <t>Болтинова О.В., Петрова И.В.</t>
  </si>
  <si>
    <t>978-5-00156-010-4</t>
  </si>
  <si>
    <t>38.02.06, 38.02.07, 40.02.02, 40.02.04</t>
  </si>
  <si>
    <t>757823.02.01</t>
  </si>
  <si>
    <t>Вахтенное обслуживание СЭУ...: Уч.мет.пос. / Ю.Г.Дейнего - М.:НИЦ ИНФРА-М,2024 - 174 с.(П)</t>
  </si>
  <si>
    <t>ВАХТЕННОЕ ОБСЛУЖИВАНИЕ СЭУ. ЭКСПЛУАТАЦИЯ СУДОВЫХ ЭНЕРГЕТИЧЕСКИХ УСТАНОВОК И БЕЗОПАСНОЕ НЕСЕНИЕ МАШИННОЙ ВАХТЫ</t>
  </si>
  <si>
    <t>Дейнего Ю.Г., ЧВВМУ имени П.С Нахимова</t>
  </si>
  <si>
    <t>Среднее профессиональное образование (ЧВВМУ им. Нахимова)</t>
  </si>
  <si>
    <t>978-5-16-016917-0</t>
  </si>
  <si>
    <t>Учебно-методическое пособие</t>
  </si>
  <si>
    <t>26.01.01, 26.01.07, 26.01.09, 26.02.01, 26.02.03, 26.02.05, 26.02.06, 35.01.32, 35.02.11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</si>
  <si>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26.02.05 «Эксплуатация судовых энергетических установок» (протокол № 11 от 09.11.2020)</t>
  </si>
  <si>
    <t>720385.04.01</t>
  </si>
  <si>
    <t>Введение в архитектуру програм. обеспечения: Уч.пос./ Л.Г.Гагарина -М.:ИД ФОРУМ, НИЦ ИНФРА-М,2023-320 с.(СПО)(П)</t>
  </si>
  <si>
    <t>ВВЕДЕНИЕ В АРХИТЕКТУРУ ПРОГРАММНОГО ОБЕСПЕЧЕНИЯ</t>
  </si>
  <si>
    <t>Гагарина Л.Г., Федоров А.Р., Федоров П.А.</t>
  </si>
  <si>
    <t>978-5-8199-0903-4</t>
  </si>
  <si>
    <t>09.02.01, 09.02.07, 09.02.09, 09.02.10</t>
  </si>
  <si>
    <t>842180.01.01</t>
  </si>
  <si>
    <t>Введение в геоинформ. сис.: Уч.пос. / Я.Ю.Блиновская - 2 изд. - М.:Форум, НИЦ ИНФРА-М,2025 - 112 с(СПО)(о)</t>
  </si>
  <si>
    <t>ВВЕДЕНИЕ В ГЕОИНФОРМАЦИОННЫЕ СИСТЕМЫ, ИЗД.2</t>
  </si>
  <si>
    <t>Блиновская Я.Ю., Задоя Д.С.</t>
  </si>
  <si>
    <t>978-5-00091-810-4</t>
  </si>
  <si>
    <t>21.02.10, 21.02.19, 21.02.20</t>
  </si>
  <si>
    <t>Дальневосточный федеральный университет</t>
  </si>
  <si>
    <t>753738.06.01</t>
  </si>
  <si>
    <t>Введение в педагогическую деятельность: Уч.пос. / Н.А.Шайденко - М.:НИЦ ИНФРА-М,2025 - 228 с.(СПО)(П)</t>
  </si>
  <si>
    <t>ВВЕДЕНИЕ В ПЕДАГОГИЧЕСКУЮ ДЕЯТЕЛЬНОСТЬ</t>
  </si>
  <si>
    <t>Шайденко Н.А., Кипурова С.Н.</t>
  </si>
  <si>
    <t>978-5-16-016834-0</t>
  </si>
  <si>
    <t>ЛИТЕРАТУРА ДЛЯ СРЕДНЕЙ ШКОЛЫ И АБИТУРИЕНТОВ. ПЕДАГОГИКА</t>
  </si>
  <si>
    <t>Педагогика. Образование</t>
  </si>
  <si>
    <t>44.02.01, 44.02.02, 44.02.03, 44.02.04, 44.02.05, 44.02.06, 49.02.01, 49.02.02, 51.02.01, 51.02.03, 53.02.01, 54.02.06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</si>
  <si>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 (протокол № 11 от 26.10.2020)</t>
  </si>
  <si>
    <t>Тульский государственный педагогический университет им. Л.Н. Толстого</t>
  </si>
  <si>
    <t>732031.02.01</t>
  </si>
  <si>
    <t>Введение в программир. на яз. Visual Basic for Applications (VBA): Уч.пос. / С.Р.Гуриков-М.:НИЦ ИНФРА-М,2024.-317 с.(СПО)(п)</t>
  </si>
  <si>
    <t>ВВЕДЕНИЕ В ПРОГРАММИРОВАНИЕ НА ЯЗЫКЕ VISUAL BASIC FOR APPLICATIONS (VBA)</t>
  </si>
  <si>
    <t>Гуриков С.Р.</t>
  </si>
  <si>
    <t>978-5-16-015995-9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</si>
  <si>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(протокол № 8 от 22.06.2020)</t>
  </si>
  <si>
    <t>Московский государственный технологический университет "Станкин"</t>
  </si>
  <si>
    <t>682842.02.01</t>
  </si>
  <si>
    <t>Введение в программирование на языке Visual C#: Уч.пос. / С.Р.Гуриков-М.:Форум, НИЦ ИНФРА-М,2019-447с(П)</t>
  </si>
  <si>
    <t>ВВЕДЕНИЕ В ПРОГРАММИРОВАНИЕ НА ЯЗЫКЕ VISUAL C#</t>
  </si>
  <si>
    <t>978-5-00091-540-0</t>
  </si>
  <si>
    <t>09.02.03, 09.02.07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</si>
  <si>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09.02.01 «Компьютерные системы и комплексы», 09.02.02 «Компьютерные сети», 09.02.03 «Программирование в компьютерных системах», 09.02.04 «Информационные системы (по отраслям)», 09.02.05 «Прикладная информатика (по отраслям)»</t>
  </si>
  <si>
    <t>058900.15.01</t>
  </si>
  <si>
    <t>Введение в специальность программиста: Уч. / В.А.Гвоздева - 2изд.-М.:ИД Форум, НИЦ ИНФРА-М,2024.-208с(П)</t>
  </si>
  <si>
    <t>ВВЕДЕНИЕ В СПЕЦИАЛЬНОСТЬ ПРОГРАММИСТА, ИЗД.2</t>
  </si>
  <si>
    <t>Гвоздева В.А.</t>
  </si>
  <si>
    <t>978-5-8199-0929-4</t>
  </si>
  <si>
    <t>09.02.03, 21.02.12</t>
  </si>
  <si>
    <t>Допущено Министерством образования и науки Российской Федерации в качестве учебника для студентов образовательных учреждений среднего профессионального образования, обучающихся по специальности «Программное обеспечение вычислительной техники и автоматизированных систем»</t>
  </si>
  <si>
    <t>0207</t>
  </si>
  <si>
    <t>717633.02.01</t>
  </si>
  <si>
    <t>Введение в языкознание: Уч.пос. / Н.М.Орлова - 2 изд. - М.:НИЦ ИНФРА-М,2023 - 263 с.(СПО)(П)</t>
  </si>
  <si>
    <t>ВВЕДЕНИЕ В ЯЗЫКОЗНАНИЕ, ИЗД.2</t>
  </si>
  <si>
    <t>Орлова Н.М.</t>
  </si>
  <si>
    <t>978-5-16-015513-5</t>
  </si>
  <si>
    <t>44.02.03, 44.02.05, 44.02.06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</si>
  <si>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 (протокол № 10 от 27.05.2019)</t>
  </si>
  <si>
    <t>Саратовский государственный университет им. Н.Г. Чернышевского</t>
  </si>
  <si>
    <t>819901.01.01</t>
  </si>
  <si>
    <t>Ведение бух. учета источ. формир. активов, вып. работ...: Уч.пос. / Т.А.Тюленева - М.:НИЦ ИНФРА-М,2025. - 273 с.(п)</t>
  </si>
  <si>
    <t>ВЕДЕНИЕ БУХГАЛТЕРСКОГО УЧЕТА ИСТОЧНИКОВ ФОРМИРОВАНИЯ АКТИВОВ, ВЫПОЛНЕНИЕ РАБОТ ПО ИНВЕНТАРИЗАЦИИ АКТИВОВ И ФИНАНСОВЫХ ОБЯЗАТЕЛЬСТВ ОРГАНИЗАЦИИ</t>
  </si>
  <si>
    <t>Тюленева Т.А.</t>
  </si>
  <si>
    <t>978-5-16-019673-2</t>
  </si>
  <si>
    <t>Кузбасский государственный технический университет имени Т. Ф. Горбачева</t>
  </si>
  <si>
    <t>771941.01.01</t>
  </si>
  <si>
    <t>Ведение бух. учета источников формир. имущества..: Уч. / Г.И.Алексеева - М.:НИЦ ИНФРА-М,2025. - 345 с.(п)</t>
  </si>
  <si>
    <t>ВЕДЕНИЕ БУХГАЛТЕРСКОГО УЧЕТА ИСТОЧНИКОВ ФОРМИРОВАНИЯ ИМУЩЕСТВА, ВЫПОЛНЕНИЕ РАБОТ ПО ИНВЕНТАРИЗАЦИИ ИМУЩЕСТВА И ФИНАНСОВЫХ ОБЯЗАТЕЛЬСТВ</t>
  </si>
  <si>
    <t>Алексеева Г.И.</t>
  </si>
  <si>
    <t>978-5-16-019747-0</t>
  </si>
  <si>
    <t>682843.07.01</t>
  </si>
  <si>
    <t>Ветеринарная пропедевтика: Уч. / Б.В.Уша - 2 изд. - М.:НИЦ ИНФРА-М,2026 - 451 с.(СПО)(П)</t>
  </si>
  <si>
    <t>ВЕТЕРИНАРНАЯ ПРОПЕДЕВТИКА, ИЗД.2</t>
  </si>
  <si>
    <t>Уша Б.В., Беляков И.М.</t>
  </si>
  <si>
    <t>978-5-16-013898-5</t>
  </si>
  <si>
    <t>35.01.23, 35.02.09, 36.01.02, 36.01.03, 36.02.01, 36.02.03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</si>
  <si>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36.02.01 «Ветеринария», 36.02.02 «Зоотехния»</t>
  </si>
  <si>
    <t>682844.06.01</t>
  </si>
  <si>
    <t>Ветеринарно-санитарная экспертиза: Уч. / Под ред. Кунакова А.А. - М.:НИЦ ИНФРА-М,2026 - 234 с.(СПО) (П)</t>
  </si>
  <si>
    <t>ВЕТЕРИНАРНО-САНИТАРНАЯ ЭКСПЕРТИЗА</t>
  </si>
  <si>
    <t>Кунаков А.А., Уша Б.В., Кальницкая О.И. и др.</t>
  </si>
  <si>
    <t>978-5-16-013899-2</t>
  </si>
  <si>
    <t>18.01.01, 18.01.34, 36.01.05, 36.02.01, 36.02.03, 38.01.02</t>
  </si>
  <si>
    <t>Рекомендовано Учебно-методическим советом СПО в качестве учебника для учебных заведений, реализующих программу среднего профессионального образования по  специальностям 36.02.01 «Ветеринария», 36.02.02 «Зоотехния»</t>
  </si>
  <si>
    <t>730831.02.01</t>
  </si>
  <si>
    <t>Взаимозаменяемость и нормирование точности: Уч. / А.А.Афанасьев - М.:НИЦ ИНФРА-М,2024-427 с.(СПО)(П)</t>
  </si>
  <si>
    <t>ВЗАИМОЗАМЕНЯЕМОСТЬ И НОРМИРОВАНИЕ ТОЧНОСТИ</t>
  </si>
  <si>
    <t>Афанасьев А.А., Погонин А.А.</t>
  </si>
  <si>
    <t>978-5-16-015957-7</t>
  </si>
  <si>
    <t>Технические науки в целом</t>
  </si>
  <si>
    <t>15.02.16, 27.02.01, 27.02.02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</si>
  <si>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27.02.01 «Метрология», 27.02.02 «Техническое регулирование и управление качеством»  (протокол № 14 от 30.09.2019)</t>
  </si>
  <si>
    <t>Белгородский государственный технологический университет им. В.Г. Шухова</t>
  </si>
  <si>
    <t>705030.09.01</t>
  </si>
  <si>
    <t>Взрывчатые вещества и взрывчатые превращения: Уч.пос. / Ю.И.Котасонов - М.:НИЦ ИНФРА-М,2026 - 142 с(П)</t>
  </si>
  <si>
    <t>ВЗРЫВЧАТЫЕ ВЕЩЕСТВА И ВЗРЫВЧАТЫЕ ПРЕВРАЩЕНИЯ</t>
  </si>
  <si>
    <t>Котасонов Ю.И.</t>
  </si>
  <si>
    <t>Военное образование (ЧВВМУ им. Нахимова)</t>
  </si>
  <si>
    <t>978-5-16-015160-1</t>
  </si>
  <si>
    <t>Военное дело. Оружие. Спецслужбы</t>
  </si>
  <si>
    <t>Профессиональное обучение</t>
  </si>
  <si>
    <t>17.03.01, 17.04.01, 17.05.01, 56.04.02, 56.04.03, 56.04.06, 56.04.08, 56.05.01</t>
  </si>
  <si>
    <t>Рекомендовано Ученым советом ЧВВМУ имени П.С. Нахимова (протокол № 11/2015-2016 от 24.06.2016) в качестве учебного пособия по дисциплине «Взрывчатые вещества и взрывчатые превращения» для курсантов ЧВВМУ</t>
  </si>
  <si>
    <t>ЧЕРНОМОРСКОЕ ВЫСШЕЕ ВОЕННО-МОРСКОЕ ОРДЕНОВ НАХИМОВА и КРАСНОЙ ЗВЕЗДЫ УЧИЛИЩЕ ИМЕНИ П.С.НАХИМОВА Министерство обороны Российской Федерации</t>
  </si>
  <si>
    <t>104850.17.01</t>
  </si>
  <si>
    <t>Виды и средства распростр. рекламы: Уч.пос. / Б.И.Герасимов. - М.:Форум, НИЦ ИНФРА-М,2026. - 128 с.(О)</t>
  </si>
  <si>
    <t>ВИДЫ И СРЕДСТВА РАСПРОСТРАНЕНИЯ РЕКЛАМЫ</t>
  </si>
  <si>
    <t>Герасимов Б.И., Молоткова Н.В., Блюм М.А.</t>
  </si>
  <si>
    <t>978-5-00091-611-7</t>
  </si>
  <si>
    <t>38.02.08, 42.01.01, 42.02.01, 54.02.08</t>
  </si>
  <si>
    <t>Рекомендовано Методическим советом Учебно-методического центра по профессиональному образованию Департамента образования города Москвы в качестве учебного пособия для студентов образовательных учреждений среднего профессионального образования</t>
  </si>
  <si>
    <t>Тамбовский государственный технический университет</t>
  </si>
  <si>
    <t>845209.01.01</t>
  </si>
  <si>
    <t>Внешнеэкономическая деят. Сб. задач..: Уч.пос. / Е.В.Карпунина - М.:НИЦ ИНФРА-М,2026. - 228 с.(СПО)(п)</t>
  </si>
  <si>
    <t>ВНЕШНЕЭКОНОМИЧЕСКАЯ ДЕЯТЕЛЬНОСТЬ. СБОРНИК ЗАДАЧ, СИТУАЦИЙ И ТЕСТОВ: УЧЕБНОЕ ПОСОБИЕ</t>
  </si>
  <si>
    <t>Карпунина Е.В., Карпунин А.Ю., Гаджиев Н.Г. и др.</t>
  </si>
  <si>
    <t>978-5-16-020770-4</t>
  </si>
  <si>
    <t>38.02.06</t>
  </si>
  <si>
    <t>Рязанский государственный радиотехнический университет имени В.Ф. Уткина</t>
  </si>
  <si>
    <t>Июнь, 2025</t>
  </si>
  <si>
    <t>845049.01.01</t>
  </si>
  <si>
    <t>Внешнеэкономическая деятельность: Уч.пос. / Е.В.Карпунина. - М.:НИЦ ИНФРА-М,2026. - 188 с.(СПО)(п)</t>
  </si>
  <si>
    <t>ВНЕШНЕЭКОНОМИЧЕСКАЯ ДЕЯТЕЛЬНОСТЬ</t>
  </si>
  <si>
    <t>978-5-16-020624-0</t>
  </si>
  <si>
    <t>38.02.01, 38.02.06, 38.02.07, 38.02.08</t>
  </si>
  <si>
    <t>682845.08.01</t>
  </si>
  <si>
    <t>Внутренние болезни животных: Уч. / Под ред. Уша Б.В. - 2 изд. - М.:НИЦ ИНФРА-М,2025 - 311 с.(СПО)(П)</t>
  </si>
  <si>
    <t>ВНУТРЕННИЕ БОЛЕЗНИ ЖИВОТНЫХ, ИЗД.2</t>
  </si>
  <si>
    <t>Уша Б.В., Жавнис С.Э., Серегин И.Г. и др.</t>
  </si>
  <si>
    <t>978-5-16-016379-6</t>
  </si>
  <si>
    <t>077600.22.01</t>
  </si>
  <si>
    <t>Водоотведение: Уч. / Ю.В.Воронов и др. - М.:НИЦ ИНФРА-М,2026 - 415 с.(СПО)(П)</t>
  </si>
  <si>
    <t>ВОДООТВЕДЕНИЕ</t>
  </si>
  <si>
    <t>Воронов Ю. В., Алексеев Е. В., Саломеев В. П., Пугачев Е. А.</t>
  </si>
  <si>
    <t>978-5-16-006330-0</t>
  </si>
  <si>
    <t>08.01.29, 08.02.04, 08.02.13, 08.02.14</t>
  </si>
  <si>
    <t>Допущено Федеральным агентством по строительству и жилищно-коммунальному хозяйству в качестве учебника для студентов средних специальных заведений, обучающихся по специальности «Водоснабжение и водоотведение»</t>
  </si>
  <si>
    <t>682846.07.01</t>
  </si>
  <si>
    <t>Водоснабжение: Уч. / В.А.Орлов - М.:НИЦ ИНФРА-М,2026 - 443 с.(СПО)(П)</t>
  </si>
  <si>
    <t>ВОДОСНАБЖЕНИЕ</t>
  </si>
  <si>
    <t>Орлов В.А., Квитка Л.А.</t>
  </si>
  <si>
    <t>978-5-16-013901-2</t>
  </si>
  <si>
    <t>08.02.04, 13.02.02, 18.01.27, 19.01.01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</si>
  <si>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специальности 08.02.04 «Водоснабжение и водоотведение»</t>
  </si>
  <si>
    <t>071830.19.01</t>
  </si>
  <si>
    <t>Водоснабжение: Уч. / М.А.Сомов - М.:НИЦ ИНФРА-М,2026 - 287 с.(СПО)(П)</t>
  </si>
  <si>
    <t>Сомов М. А., Квитка Л. А.</t>
  </si>
  <si>
    <t>978-5-16-009068-9</t>
  </si>
  <si>
    <t>08.01.29, 08.02.04, 08.02.13, 13.02.02, 18.01.27, 19.01.01</t>
  </si>
  <si>
    <t>Рекомендовано в качестве учебника для студентов средних профессиональных учебных заведений, обучающихся по специальности 08.02.04 «Водоснабжение и водоотведение» (квалификация (степень) «техник»)</t>
  </si>
  <si>
    <t>682847.07.01</t>
  </si>
  <si>
    <t>Возрастная анатомия и физиология: Уч.пос. / Н.Ф.Лысова - М.:НИЦ ИНФРА-М,2025. - 352 с.-(СПО)(П)</t>
  </si>
  <si>
    <t>ВОЗРАСТНАЯ АНАТОМИЯ И ФИЗИОЛОГИЯ</t>
  </si>
  <si>
    <t>Лысова Н.Ф., Айзман Р.И.</t>
  </si>
  <si>
    <t>978-5-16-013902-9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</si>
  <si>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44.02.01 «Дошкольное образование», 44.02.02 «Преподавание в начальных классах», 44.02.03 «Педагогика дополнительного образования», 44.02.04 «Специальное дошкольное образование», 44.02.05 «Коррекционная педагогика в начальном образовании», 44.02.06 «Профессиональное обучение (по отраслям)»</t>
  </si>
  <si>
    <t>Новосибирский государственный педагогический университет</t>
  </si>
  <si>
    <t>682848.06.01</t>
  </si>
  <si>
    <t>Возрастная психология: Уч.пос. / Б.Р.Мандель - М, НИЦ ИНФРА-М,2026. - 338 с.(СПО)(П)</t>
  </si>
  <si>
    <t>ВОЗРАСТНАЯ ПСИХОЛОГИЯ</t>
  </si>
  <si>
    <t>978-5-16-018895-9</t>
  </si>
  <si>
    <t>20.02.05, 39.02.01, 44.02.01, 44.02.02, 44.02.03, 44.02.04, 44.02.05, 44.02.06, 49.02.01, 49.02.02, 53.02.01, 54.02.06</t>
  </si>
  <si>
    <t>Рекомендовано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</t>
  </si>
  <si>
    <t>682849.08.01</t>
  </si>
  <si>
    <t>Возрастная физиология и психофизиология: Уч.пос. / Р.И.Айзман - М.:НИЦ ИНФРА-М,2026 - 352 с.(СПО)(П)</t>
  </si>
  <si>
    <t>ВОЗРАСТНАЯ ФИЗИОЛОГИЯ И ПСИХОФИЗИОЛОГИЯ</t>
  </si>
  <si>
    <t>Айзман Р.И., Лысова Н.Ф.</t>
  </si>
  <si>
    <t>978-5-16-013904-3</t>
  </si>
  <si>
    <t>12.02.08, 31.02.01, 31.02.02, 31.02.03, 31.02.04, 31.02.06, 32.02.01, 33.02.01, 34.02.01, 42.02.12, 43.02.04, 43.02.17, 44.02.01, 44.02.02, 44.02.03, 44.02.04, 44.02.05, 44.02.06, 49.02.01, 49.02.02, 53.02.01, 54.02.06, 49.02.03</t>
  </si>
  <si>
    <t>Рекомендовано Учебно-методическим советом СПО в качестве учебного пособия для учебных заведений, реализующих программу среднего профессионального образования по специальностям 44.02.03 «Преподавание в начальных классах», 44.02.03 «Педагогика дополнительного образования», 44.02.01 «Дошкольное образование»</t>
  </si>
  <si>
    <t>682795.08.01</t>
  </si>
  <si>
    <t>Вольная борьба: Уч.пос. / П.Ф.Матущак - М.:НИЦ ИНФРА-М,2025 - 292 с.-(СПО)(П)</t>
  </si>
  <si>
    <t>ВОЛЬНАЯ БОРЬБА</t>
  </si>
  <si>
    <t>Матущак П. Ф.</t>
  </si>
  <si>
    <t>978-5-16-014085-8</t>
  </si>
  <si>
    <t>ДОМ, БЫТ, ДОСУГ</t>
  </si>
  <si>
    <t>Спорт. Самооборона</t>
  </si>
  <si>
    <t>00.01.05, 00.02.14, 49.02.01</t>
  </si>
  <si>
    <t>Рекомендовано Учебно-методическим советом СПО в качестве учебного пособия для учебных заведений, реализующих программу среднего профессионального образования на базе основного общего образования</t>
  </si>
  <si>
    <t>682850.08.01</t>
  </si>
  <si>
    <t>Воспитание и обуч. детей с наруш. речи....: Уч. пос. / Л.С.Вакуленко - М.:Форум,НИЦ ИНФРА-М,2025 - 272с(П)</t>
  </si>
  <si>
    <t>ВОСПИТАНИЕ И ОБУЧЕНИЕ ДЕТЕЙ С НАРУШЕНИЯМИ РЕЧИ. ПСИХОЛОГИЯ ДЕТЕЙ С НАРУШЕНИЯМИ РЕЧИ</t>
  </si>
  <si>
    <t>Вакуленко Л.С.</t>
  </si>
  <si>
    <t>978-5-00091-573-8</t>
  </si>
  <si>
    <t>44.02.01, 44.02.04, 44.02.05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</si>
  <si>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</t>
  </si>
  <si>
    <t>733188.05.01</t>
  </si>
  <si>
    <t>Воспитание толерантности у младших шк.: Уч.пос. / С.А.Герасимов - М.:НИЦ ИНФРА-М,2026 - 315 с.(П)</t>
  </si>
  <si>
    <t>ВОСПИТАНИЕ ТОЛЕРАНТНОСТИ У МЛАДШИХ ШКОЛЬНИКОВ</t>
  </si>
  <si>
    <t>Герасимов С.А., Сковородкина И.З.</t>
  </si>
  <si>
    <t>978-5-16-016166-2</t>
  </si>
  <si>
    <t>44.02.02, 44.02.03, 44.02.04, 44.02.05, 54.02.06</t>
  </si>
  <si>
    <t>Допущено Министерством образования и науки Российской Федерации в качестве учебного пособия для студентов профессиональных образовательных организаций, обучающихся по специальности 44.02.02 «Преподавание в начальных классах», студентов образовательных организаций высшего образования, обучающихся по направлению подготовки 44.03.01 «Педагогическое образование», профиль «Начальное образование», и обучающихся организаций дополнительного профессионального образования</t>
  </si>
  <si>
    <t>Архангельский политехнический техникум</t>
  </si>
  <si>
    <t>843804.01.01</t>
  </si>
  <si>
    <t>Времена английского глагола....: Уч. пос. / А.А.Караванов - М.:НИЦ ИНФРА-М,2025 - 212 с.(СПО)(п)</t>
  </si>
  <si>
    <t>ВРЕМЕНА АНГЛИЙСКОГО ГЛАГОЛА. СИСТЕМА, ПРАВИЛА, УПРАЖНЕНИЯ, ТЕСТЫ</t>
  </si>
  <si>
    <t>Караванов А.А.</t>
  </si>
  <si>
    <t>978-5-16-020404-8</t>
  </si>
  <si>
    <t>00.01.02</t>
  </si>
  <si>
    <t>741931.05.01</t>
  </si>
  <si>
    <t>Вся физика на ладони. Интерактивный справ. / С.И.Кузнецов - М.:НИЦ ИНФРА-М,2026. - 252 с.(СПО)(п)</t>
  </si>
  <si>
    <t>ВСЯ ФИЗИКА НА ЛАДОНИ. ИНТЕРАКТИВНЫЙ СПРАВОЧНИК</t>
  </si>
  <si>
    <t>Кузнецов С.И., Рогозин К.И.</t>
  </si>
  <si>
    <t>978-5-16-021175-6</t>
  </si>
  <si>
    <t>Справочник</t>
  </si>
  <si>
    <t>00.02.23, 10.02.04, 25.02.01, 52.02.01, 52.02.02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</si>
  <si>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программу среднего профессионального ¶образования по техническим специальностям (протокол № 9 от 28.09.2020)</t>
  </si>
  <si>
    <t>Национальный исследовательский Томский политехнический университет</t>
  </si>
  <si>
    <t>077280.21.01</t>
  </si>
  <si>
    <t>Выбор и наладка электрооборуд.: Справ. пос. / В.К.Варварин - 3 изд. - М.:Форум, НИЦ ИНФРА-М,2024 - 238 с.(П)</t>
  </si>
  <si>
    <t>ВЫБОР И НАЛАДКА ЭЛЕКТРООБОРУДОВАНИЯ, ИЗД.3</t>
  </si>
  <si>
    <t>Варварин В. К.</t>
  </si>
  <si>
    <t>978-5-00091-451-9</t>
  </si>
  <si>
    <t>Справочное пособие</t>
  </si>
  <si>
    <t>08.01.31, 08.02.09, 11.01.02, 11.01.05, 13.01.07, 13.01.10, 13.02.07, 13.02.09, 13.02.12, 13.02.13, 18.01.28, 21.01.15, 26.01.05, 26.02.04, 26.02.05, 26.02.06, 35.01.15</t>
  </si>
  <si>
    <t>773958.02.01</t>
  </si>
  <si>
    <t>Выполнение работ по профессии рабочего: Прак.: Уч.пос. / Л.А.Сайдуллаева - М.:НИЦ ИНФРА-М,2025 - 183 с.(П)</t>
  </si>
  <si>
    <t>ВЫПОЛНЕНИЕ РАБОТ ПО ПРОФЕССИИ РАБОЧЕГО: ТРАКТОРИСТ-МАШИНИСТ СЕЛЬСКОХОЗЯЙСТВЕННОГО ПРОИЗВОДСТВА. ПРАКТИКУМ</t>
  </si>
  <si>
    <t>Сайдуллаева Л.А.</t>
  </si>
  <si>
    <t>978-5-16-017519-5</t>
  </si>
  <si>
    <t>35.01.01, 35.01.27, 35.01.30, 35.02.05, 35.02.16, 36.01.04</t>
  </si>
  <si>
    <t>Кемеровский аграрный техникум</t>
  </si>
  <si>
    <t>671809.07.01</t>
  </si>
  <si>
    <t>Выпускная квалификац. раб. в проф. обр. орг. СПО: Уч.мет.пос. / С.Н.Рыжиков - М.:НИЦ ИНФРА-М,2024 - 236с(П)</t>
  </si>
  <si>
    <t>ВЫПУСКНАЯ КВАЛИФИКАЦИОННАЯ РАБОТА В ПРОФЕССИОНАЛЬНЫХ ОБРАЗОВАТЕЛЬНЫХ ОРГАНИЗАЦИЯХ СПО</t>
  </si>
  <si>
    <t>Рыжиков С.Н.</t>
  </si>
  <si>
    <t>978-5-16-013869-5</t>
  </si>
  <si>
    <t>00.02.03, 31.02.01, 39.02.01, 44.02.01, 44.02.02, 44.02.03, 44.02.04, 44.02.05, 44.02.06, 49.02.01, 49.02.02</t>
  </si>
  <si>
    <t>Рекомендовано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 (протокол № 10 от 27.05.2019)</t>
  </si>
  <si>
    <t>079300.17.01</t>
  </si>
  <si>
    <t>Вычислительная техника: Уч.пос. / Т.Л.Партыка, - 3 изд. - М.:Форум, НИЦ ИНФРА-М,2026. - 445 с.(СПО)(П)</t>
  </si>
  <si>
    <t>ВЫЧИСЛИТЕЛЬНАЯ ТЕХНИКА, ИЗД.3</t>
  </si>
  <si>
    <t>Партыка Т.Л., Попов И.И.</t>
  </si>
  <si>
    <t>978-5-00091-510-3</t>
  </si>
  <si>
    <t>09.01.03, 09.01.04, 09.02.01, 09.02.02, 09.02.03, 09.02.04, 09.02.05, 09.02.06, 09.02.07, 10.02.01, 10.02.02, 10.02.03, 10.02.05, 11.02.03, 11.02.06, 11.02.07, 11.02.09, 11.02.11, 11.02.14, 11.02.15, 11.02.17, 11.02.18, 11.02.19, 12.02.01, 12.02.03, 12.02.05, 12.02.06, 13.02.12, 15.02.07, 15.02.09, 15.02.10, 15.02.17, 26.01.05, 27.02.04, 46.01.02, 46.01.03, 53.02.08</t>
  </si>
  <si>
    <t>Рекомендовано Мин. обр. и науки РФ в качестве учебника для студентов учреждений среднего пофессионального образования</t>
  </si>
  <si>
    <t>0312</t>
  </si>
  <si>
    <t>065100.17.01</t>
  </si>
  <si>
    <t>Газифицированные котельные агрегаты: Уч. / О.Н. Брюханов - М.:НИЦ ИНФРА-М, 2021.- 392 с.- (СПО)(П)</t>
  </si>
  <si>
    <t>ГАЗИФИЦИРОВАННЫЕ КОТЕЛЬНЫЕ АГРЕГАТЫ</t>
  </si>
  <si>
    <t>Брюханов О. Н., Кузнецов В. А.</t>
  </si>
  <si>
    <t>978-5-16-005373-8</t>
  </si>
  <si>
    <t>08.02.02, 08.02.08, 13.02.02, 18.01.27, 19.01.01</t>
  </si>
  <si>
    <t>Допущено Гос. комитетом РФ по строительству и жилищно-коммунальному комплексу в кач. учеб. для студ. сред. спец. учеб. зав., обуч. по спец. 2915 "Монтаж и эксплуатация оборудования и систем газоснабжения"</t>
  </si>
  <si>
    <t>0105</t>
  </si>
  <si>
    <t>065100.24.01</t>
  </si>
  <si>
    <t>Газифицированные котельные агрегаты: Уч. / О.Н.Брюханов - 2 изд. - М.:НИЦ ИНФРА-М,2026 - 392 с.(СПО)(П)</t>
  </si>
  <si>
    <t>ГАЗИФИЦИРОВАННЫЕ КОТЕЛЬНЫЕ АГРЕГАТЫ, ИЗД.2</t>
  </si>
  <si>
    <t>Брюханов О.Н., Кузнецов В.А.</t>
  </si>
  <si>
    <t>978-5-16-014787-1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</si>
  <si>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08.02.08 «Монтаж и эксплуатация оборудования и систем газоснабжения» (протокол № 3 от 17.03.2021)</t>
  </si>
  <si>
    <t>682852.06.01</t>
  </si>
  <si>
    <t>География туризма: Уч. / Под ред. Богданова Е.И. - М.:НИЦ ИНФРА-М,2023 - 256 с.-(СПО)(П)</t>
  </si>
  <si>
    <t>ГЕОГРАФИЯ ТУРИЗМА</t>
  </si>
  <si>
    <t>Погодина В.Л., Филиппова И.Г., Богданов Е.И.</t>
  </si>
  <si>
    <t>978-5-16-013906-7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</si>
  <si>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43.02.10 «Туризм», 43.02.11 «Гостиничный сервис»</t>
  </si>
  <si>
    <t>Санкт-Петербургский университет технологий управления и экономики</t>
  </si>
  <si>
    <t>161300.13.01</t>
  </si>
  <si>
    <t>География туризма: Уч.пос. / П.В.Большаник - 2 изд. - М.:НИЦ ИНФРА-М,2025 - 355 с.(СПО)(П)</t>
  </si>
  <si>
    <t>ГЕОГРАФИЯ ТУРИЗМА, ИЗД.2</t>
  </si>
  <si>
    <t>Большаник П.В.</t>
  </si>
  <si>
    <t>978-5-16-012118-5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</si>
  <si>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специальности 43.02.10 «Туризм»</t>
  </si>
  <si>
    <t>Омский государственный педагогический университет</t>
  </si>
  <si>
    <t>0217</t>
  </si>
  <si>
    <t>809272.01.01</t>
  </si>
  <si>
    <t>География туризма: Уч.пос. / С.В.Вакуленко - М.:НИЦ ИНФРА-М,2025 - 282 с.(СПО)(п)</t>
  </si>
  <si>
    <t>Вакуленко С.В.</t>
  </si>
  <si>
    <t>978-5-16-019647-3</t>
  </si>
  <si>
    <t>Ростовский государственный экономический университет (РИНХ)</t>
  </si>
  <si>
    <t>641799.13.01</t>
  </si>
  <si>
    <t>География: Уч. / О.В.Шульгина и др. - М.:НИЦ ИНФРА-М,2026. - 313 с..(СПО)(П)</t>
  </si>
  <si>
    <t>ГЕОГРАФИЯ</t>
  </si>
  <si>
    <t>Шульгина О.В., Козаренко А.Е., Самусенко Д.Н.</t>
  </si>
  <si>
    <t>978-5-16-013213-6</t>
  </si>
  <si>
    <t>00.02.19, 11.01.08, 31.02.01</t>
  </si>
  <si>
    <t>Рекомендовано в качестве учебника для учебных заведений, реализующих основную профессиональную образовательную программу среднего профессионального образования на базе основного общего образования</t>
  </si>
  <si>
    <t>Московский городской педагогический университет</t>
  </si>
  <si>
    <t>682853.11.01</t>
  </si>
  <si>
    <t>Геодезия: Уч. / Ю.А.Кравченко - М.:НИЦ ИНФРА-М,2026 - 344 с.(СПО)(П)</t>
  </si>
  <si>
    <t>ГЕОДЕЗИЯ</t>
  </si>
  <si>
    <t>Кравченко Ю.А.</t>
  </si>
  <si>
    <t>978-5-16-013907-4</t>
  </si>
  <si>
    <t>07.02.01, 08.02.01, 08.02.02, 08.02.04, 08.02.08, 08.02.12, 08.02.13, 08.02.14, 13.02.04, 21.02.03, 21.02.10, 21.02.11, 21.02.15, 21.02.20, 23.02.08, 26.02.01, 35.01.19, 35.02.01, 35.02.02, 35.02.09, 35.02.12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</si>
  <si>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08.02.01 «Строительство и эксплуатация зданий и сооружений», 08.02.02 «Строительство и эксплуатация инженерных сооружений», 08.02.05 «Строительство и эксплуатация автомобильных дорог и аэродромов», 08.02.06 «Строительство и эксплуатация городских путей сообщения»</t>
  </si>
  <si>
    <t>Новосибирский государственный архитектурно-строительный университет (Сибстрин)</t>
  </si>
  <si>
    <t>829890.05.01</t>
  </si>
  <si>
    <t>Геология с основами геоморфологии: Уч.пос. / Под ред. Ганжары Н.Ф. - М.:НИЦ ИНФРА-М,2026. - 207 с.(СПО)(п)</t>
  </si>
  <si>
    <t>ГЕОЛОГИЯ С ОСНОВАМИ ГЕОМОРФОЛОГИИ</t>
  </si>
  <si>
    <t>Ганжара Н.Ф., Борисов Б.А., Арешин А.В. и др.</t>
  </si>
  <si>
    <t>978-5-16-019930-6</t>
  </si>
  <si>
    <t>08.02.02</t>
  </si>
  <si>
    <t>082980.09.01</t>
  </si>
  <si>
    <t>Геометрические построения на плоскости..: Уч. пос./А.А.Дадаян - 2 изд.- Форум:ИНФРА-М,2024-464с.(ПО) (п)</t>
  </si>
  <si>
    <t>ГЕОМЕТРИЧЕСКИЕ ПОСТРОЕНИЯ НА ПЛОСКОСТИ И В ПРОСТРАНСТВЕ: ЗАДАЧИ И РЕШЕНИЯ, ИЗД.2</t>
  </si>
  <si>
    <t>Дадаян А. А.</t>
  </si>
  <si>
    <t>978-5-91134-807-6</t>
  </si>
  <si>
    <t>00.02.06, 08.02.14, 26.02.04, 26.02.05</t>
  </si>
  <si>
    <t>Белорусский государственный университет</t>
  </si>
  <si>
    <t>754499.01.01</t>
  </si>
  <si>
    <t>Геометрия: практикум в Excel: Уч.пос. / О.А.Сдвижков - М.:НИЦ ИНФРА-М,2025. - 313 с.(СПО)(п)</t>
  </si>
  <si>
    <t>ГЕОМЕТРИЯ: ПРАКТИКУМ В EXCEL</t>
  </si>
  <si>
    <t>Сдвижков О.А.</t>
  </si>
  <si>
    <t>978-5-16-016954-5</t>
  </si>
  <si>
    <t>00.02.06</t>
  </si>
  <si>
    <t>682854.07.01</t>
  </si>
  <si>
    <t>Гидравлика и гидропневмопривод. Основы механики...: Уч. / А.А.Шейпак, - 6 изд. - М.:НИЦ ИНФРА-М,2025 - 270 с.(П)</t>
  </si>
  <si>
    <t>ГИДРАВЛИКА И ГИДРОПНЕВМОПРИВОД. ОСНОВЫ МЕХАНИКИ ЖИДКОСТИ И ГАЗА, ИЗД.6</t>
  </si>
  <si>
    <t>Шейпак А.А.</t>
  </si>
  <si>
    <t>978-5-16-013908-1</t>
  </si>
  <si>
    <t>15.02.03, 15.02.16, 15.02.17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</si>
  <si>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укрупненной группе специальностей 15.02.00 «Машиностроение»</t>
  </si>
  <si>
    <t>0619</t>
  </si>
  <si>
    <t>087300.16.01</t>
  </si>
  <si>
    <t>Гидравлика: Уч. / Б.В.Ухин - М.:НИЦ ИНФРА-М,2025 - 432 с.(СПО)(П)</t>
  </si>
  <si>
    <t>ГИДРАВЛИКА</t>
  </si>
  <si>
    <t>Ухин Б. В., Гусев А. А.</t>
  </si>
  <si>
    <t>978-5-16-005536-7</t>
  </si>
  <si>
    <t>08.02.01, 08.02.04, 13.02.05, 20.02.03, 21.02.01, 21.02.03, 24.02.02, 25.02.01, 25.02.02, 26.02.01, 26.02.05, 35.02.17</t>
  </si>
  <si>
    <t>Допущено Федеральным агентством по строительству и жилищно-коммунальному хозяйству в качестве учебника для студентов средних специальных заведений, обучающихся  по специальности 08.02.01 «Строительство и эксплуатация зданий и сооружений»</t>
  </si>
  <si>
    <t>682638.04.01</t>
  </si>
  <si>
    <t>Гидрогеология: Уч. / О.И.Серебряков и др. - М.:НИЦ ИНФРА-М,2025 - 233 с.-(СПО)(П)</t>
  </si>
  <si>
    <t>ГИДРОГЕОЛОГИЯ</t>
  </si>
  <si>
    <t>Серебряков О.И., Ушивцева Л.Ф., Жигульская О.П. и др.</t>
  </si>
  <si>
    <t>978-5-16-014273-9</t>
  </si>
  <si>
    <t>05.02.02, 21.02.09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</si>
  <si>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21.02.00 «Прикладная геология, горное дело, нефтегазовое дело и геодезия» (протокол № 9 от 13.05.2019)</t>
  </si>
  <si>
    <t>Астраханский государственный университет имени В.Н. Татищева</t>
  </si>
  <si>
    <t>756449.04.01</t>
  </si>
  <si>
    <t>Гидрометеорологическое обеспеч. судовождения: Уч.мет.пос. / ЧВВМУ им. П.С Нахимова. - М.:НИЦ ИНФРА-М,2025. - 283 с.(П)</t>
  </si>
  <si>
    <t>ГИДРОМЕТЕОРОЛОГИЧЕСКОЕ ОБЕСПЕЧЕНИЕ СУДОВОЖДЕНИЯ</t>
  </si>
  <si>
    <t>ЧВВМУ имени П.С Нахимова , Сухина М.И., Белокур Г.В. и др.</t>
  </si>
  <si>
    <t>978-5-16-016892-0</t>
  </si>
  <si>
    <t>05.01.01, 26.02.01, 26.02.03</t>
  </si>
  <si>
    <t>735065.05.01</t>
  </si>
  <si>
    <t>Гостеприимство и сервис в индустрии пит.: Уч.пос. / Л.Н.Рождественская - М.:НИЦ ИНФРА-М,2024 -179с(СПО)(П)</t>
  </si>
  <si>
    <t>ГОСТЕПРИИМСТВО И СЕРВИС В ИНДУСТРИИ ПИТАНИЯ</t>
  </si>
  <si>
    <t>Рождественская Л.Н., Главчева С.И., Чередниченко Л.Е.</t>
  </si>
  <si>
    <t>978-5-16-016163-1</t>
  </si>
  <si>
    <t>19.02.10, 43.02.01, 43.02.11, 43.02.15, 43.02.16</t>
  </si>
  <si>
    <t>Рекомендовано Межрегиональным учебно-методическим советом профессионального образования в качестве учебного пособия  для учебных заведений, реализующих программу среднего профессионального образования по специальностям 19.02.10 «Технология продукции общественного питания»,  43.02.11 «Гостиничный сервис», 43.02.01 «Организация обслуживания в общественном питании» (протокол № 6 от 06.04.2020)</t>
  </si>
  <si>
    <t>Новосибирский государственный технический университет</t>
  </si>
  <si>
    <t>682855.01.01</t>
  </si>
  <si>
    <t>Гостиничный менеджмент: Уч. пос. / Н.В.Дмитриева и др., - 2 изд.-М.:НИЦ ИНФРА-М,2024.-326 с.(СПО)(п)</t>
  </si>
  <si>
    <t>ГОСТИНИЧНЫЙ МЕНЕДЖМЕНТ, ИЗД.2</t>
  </si>
  <si>
    <t>Дмитриева Н.В., Зайцева Н.А., Огнева С.В. и др.</t>
  </si>
  <si>
    <t>978-5-16-015905-8</t>
  </si>
  <si>
    <t>Управление (менеджмент)</t>
  </si>
  <si>
    <t>Российский государственный университет туризма и сервиса, ф-л Институт туризма и гостеприимства</t>
  </si>
  <si>
    <t>219600.11.01</t>
  </si>
  <si>
    <t>Гостиничный сервис: Уч. / Н.Г.Можаева - 2 изд.- М.:НИЦ ИНФРА-М,2026 - 242 с.(СПО)(П)</t>
  </si>
  <si>
    <t>ГОСТИНИЧНЫЙ СЕРВИС, ИЗД.2</t>
  </si>
  <si>
    <t>Можаева Н.Г., Рыбачек Г.В.</t>
  </si>
  <si>
    <t>978-5-16-015561-6</t>
  </si>
  <si>
    <t>Рекомендовано федеральным государственным бюджетным образовательным учреждением высшего образования «Государственный университет управления» в качестве учебника для студентов средних профессиональных учебных заведений, обучающихся по специальности 43.02.11 «Гостиничный сервис»</t>
  </si>
  <si>
    <t>219600.04.01</t>
  </si>
  <si>
    <t>Гостиничный сервис: Уч. / Н.Г.Можаева - М.:Альфа-М, НИЦ ИНФРА-М,2018-240с.(ПРОФИль)(п)</t>
  </si>
  <si>
    <t>ГОСТИНИЧНЫЙ СЕРВИС</t>
  </si>
  <si>
    <t>Можаева Н. Г., Рыбачек Г. В.</t>
  </si>
  <si>
    <t>978-5-98281-357-2</t>
  </si>
  <si>
    <t>Рекомендовано федеральным государственным бюджетным образовательным учреждением высшего профессионального образования «Государственный университет управления» в качестве учебника для студентов средних учебных заведений, обучающихся по специальности 101101 "Гостиничный сервис"</t>
  </si>
  <si>
    <t>0113</t>
  </si>
  <si>
    <t>712992.03.01</t>
  </si>
  <si>
    <t>Государственные и муниципальные финансы: Уч. / И.Н.Мысляева - 5 изд. - М.:НИЦ ИНФРА-М,2024 - 445 с.(СПО)(п)</t>
  </si>
  <si>
    <t>ГОСУДАРСТВЕННЫЕ И МУНИЦИПАЛЬНЫЕ ФИНАНСЫ, ИЗД.5</t>
  </si>
  <si>
    <t>Мысляева И.Н.</t>
  </si>
  <si>
    <t>978-5-16-015383-4</t>
  </si>
  <si>
    <t>21.02.19, 38.02.01, 38.02.02, 38.02.03, 38.02.06, 38.02.07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</si>
  <si>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38.02.06 «Финансы» (протокол № 17 от 11.11.2019)</t>
  </si>
  <si>
    <t>0520</t>
  </si>
  <si>
    <t>694399.06.01</t>
  </si>
  <si>
    <t>Государственные кадастры и кадастр. оценка земель: Уч.пос. / В.В.Слезко - М.:НИЦ ИНФРА-М,2026 - 297 с.(СПО)(П)</t>
  </si>
  <si>
    <t>ГОСУДАРСТВЕННЫЕ КАДАСТРЫ И КАДАСТРОВАЯ ОЦЕНКА ЗЕМЕЛЬ</t>
  </si>
  <si>
    <t>Слезко В.В., Слезко Е.В., Слезко Л.В.</t>
  </si>
  <si>
    <t>978-5-16-015494-7</t>
  </si>
  <si>
    <t>21.02.19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</si>
  <si>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21.02.04 «Землеустройство» , 21.02.05 «Земельно-имущественные отношения» (протокол № 10 от 12.10.2020)</t>
  </si>
  <si>
    <t>Московский финансово-юридический университет</t>
  </si>
  <si>
    <t>683235.11.01</t>
  </si>
  <si>
    <t>Гражданский процесс: Уч. / И.В.Решетникова - 2 изд. - М.:Юр.Норма, НИЦ ИНФРА-М,2025 - 272 с.(СПО)(П)</t>
  </si>
  <si>
    <t>ГРАЖДАНСКИЙ ПРОЦЕСС, ИЗД.2</t>
  </si>
  <si>
    <t>Решетникова И.В., Ярков В.В.</t>
  </si>
  <si>
    <t>978-5-00156-145-3</t>
  </si>
  <si>
    <t>Уральский государственный юридический университет имени В.Ф. Яковлева</t>
  </si>
  <si>
    <t>683235.02.01</t>
  </si>
  <si>
    <t>Гражданский процесс: Уч. / И.В.Решетникова - М.:Юр.Норма, НИЦ ИНФРА-М,2019 - 304 с.-(СПО)(П)</t>
  </si>
  <si>
    <t>ГРАЖДАНСКИЙ ПРОЦЕСС</t>
  </si>
  <si>
    <t>978-5-91768-924-1</t>
  </si>
  <si>
    <t>683235.12.01</t>
  </si>
  <si>
    <t>Гражданский процесс: Уч. / И.В.Решетникова, - 3 изд. - М.:Юр. НОРМА, НИЦ ИНФРА-М,2026. - 296 с.(СПО)(п)</t>
  </si>
  <si>
    <t>ГРАЖДАНСКИЙ ПРОЦЕСС, ИЗД.3</t>
  </si>
  <si>
    <t>978-5-00156-470-6</t>
  </si>
  <si>
    <t>0326</t>
  </si>
  <si>
    <t>747818.01.01</t>
  </si>
  <si>
    <t>Гражданский процесс: Уч. / Под ред. Демичева А.А.-М.:НИЦ ИНФРА-М,2021.-404 с.(СПО)(П)</t>
  </si>
  <si>
    <t>Демичев А.А., Грачева О.С., Ильин И.В. и др.</t>
  </si>
  <si>
    <t>978-5-16-016640-7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</si>
  <si>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юридическим специальностям (протокол № 8 от 22.06.2020)</t>
  </si>
  <si>
    <t>Нижегородская академия Министерства внутренних дел Российской Федерации</t>
  </si>
  <si>
    <t>012559.14.01</t>
  </si>
  <si>
    <t>Гражданское право. Уч. для средних специальных учебных заведений: уч. / С.П.Гришаев и др., - 3-е изд.-М.:Юр. НОРМА, НИЦ ИНФРА-М,2</t>
  </si>
  <si>
    <t>ГРАЖДАНСКОЕ ПРАВО, ИЗД.3</t>
  </si>
  <si>
    <t>Гришаев С.П., Богачева Т.В., Свит Ю.П. и др.</t>
  </si>
  <si>
    <t>Ab ovo</t>
  </si>
  <si>
    <t>978-5-91768-105-4</t>
  </si>
  <si>
    <t>Допущено Министерством образования и науки Российской Федерации в качестве учебника для студентов образовательных учреждений среднего профессионального образования, обучающихся по специальности «Юриспруденция»</t>
  </si>
  <si>
    <t>0310</t>
  </si>
  <si>
    <t>012559.23.01</t>
  </si>
  <si>
    <t>Гражданское право: Уч. / Отв.ред. С.П. Гришаев - 4 изд. - Норма:ИНФРА-М,2021 - 688с(п)-(СПО)</t>
  </si>
  <si>
    <t>ГРАЖДАНСКОЕ ПРАВО, ИЗД.4</t>
  </si>
  <si>
    <t>Гришаев С. П.</t>
  </si>
  <si>
    <t>978-5-91768-904-3</t>
  </si>
  <si>
    <t>Допущено Мин. обр. и науки РФ в качестве учебника для студентов образовательных учреждений среднего пофессионального образования, обучающихся по специальности "Юриспруденция"</t>
  </si>
  <si>
    <t>0418</t>
  </si>
  <si>
    <t>012559.27.01</t>
  </si>
  <si>
    <t>Гражданское право: Уч. / Отв.ред. С.П. Гришаев - 5 изд. - Норма:ИНФРА-М,2024 - 680 с.(п)(СПО)</t>
  </si>
  <si>
    <t>ГРАЖДАНСКОЕ ПРАВО, ИЗД.5</t>
  </si>
  <si>
    <t>Гришаев С.П., Гришаев С.П.</t>
  </si>
  <si>
    <t>978-5-00156-271-9</t>
  </si>
  <si>
    <t>0523</t>
  </si>
  <si>
    <t>719946.04.01</t>
  </si>
  <si>
    <t>Данные: хранение и обработка: Уч. / Э.Г.Дадян - М.:НИЦ ИНФРА-М,2026. - 205 с.(СПО)(П)</t>
  </si>
  <si>
    <t>ДАННЫЕ: ХРАНЕНИЕ И ОБРАБОТКА</t>
  </si>
  <si>
    <t>Дадян Э.Г.</t>
  </si>
  <si>
    <t>978-5-16-015663-7</t>
  </si>
  <si>
    <t>09.02.01, 10.02.03, 51.02.03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</si>
  <si>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09.02.00 «Информатика и вычислительная техника» (протокол № 12 от 24.06.2019)</t>
  </si>
  <si>
    <t>684863.10.01</t>
  </si>
  <si>
    <t>Датчики автомоб. электронных сис. упр...: Уч.пос. / В.А.Набоких - М.:Форум, НИЦ ИНФРА-М,2024. - 239 с.(О)</t>
  </si>
  <si>
    <t>ДАТЧИКИ АВТОМОБИЛЬНЫХ ЭЛЕКТРОННЫХ СИСТЕМ УПРАВЛЕНИЯ И ДИАГНОСТИЧЕСКОГО ОБОРУДОВАНИЯ</t>
  </si>
  <si>
    <t>Набоких В.А.</t>
  </si>
  <si>
    <t>978-5-00091-596-7</t>
  </si>
  <si>
    <t>23.01.03, 23.01.17, 23.02.03, 23.02.05, 23.02.07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</si>
  <si>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23.02.03 «Техническое обслуживание и ремонт автомобильного транспорта», 23.02.05 «Эксплуатация транспортного электрооборудования и автоматики (по видам транспорта, за исключением водного)», 23.02.07 «Техническое обслуживание и ремонт двигателей, систем и агрегатов автомобилей»</t>
  </si>
  <si>
    <t>682857.08.01</t>
  </si>
  <si>
    <t>Декоративное садовод. с осн. ландшафт. проект.: Уч. / Под ред. Исачкина А.В.-М.:НИЦ ИНФРА-М,2024.-522 с.(П)</t>
  </si>
  <si>
    <t>ДЕКОРАТИВНОЕ САДОВОДСТВО С ОСНОВАМИ ЛАНДШАФТНОГО ПРОЕКТИРОВАНИЯ</t>
  </si>
  <si>
    <t>Исачкин А.В., Крючкова В.А., Скакова А.Г. и др.</t>
  </si>
  <si>
    <t>978-5-16-013910-4</t>
  </si>
  <si>
    <t>35.02.12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</si>
  <si>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специальности 35.02.12 «Садово-парковое и ландшафтное строительство»</t>
  </si>
  <si>
    <t>086170.17.01</t>
  </si>
  <si>
    <t>Декоративно-прикладное искусство: Уч.пос. / В.Н.Молотова - 3 изд. - М.:Форум,НИЦ ИНФРА-М,2025 - 288 с.(П)</t>
  </si>
  <si>
    <t>ДЕКОРАТИВНО-ПРИКЛАДНОЕ ИСКУССТВО, ИЗД.3</t>
  </si>
  <si>
    <t>Молотова В. Н.</t>
  </si>
  <si>
    <t>978-5-00091-402-1</t>
  </si>
  <si>
    <t>29.01.04, 29.01.09, 35.01.28, 38.02.02, 42.02.01, 43.02.02, 51.02.03, 52.02.03, 52.02.04, 52.02.05, 54.01.01, 54.01.02, 54.01.05, 54.01.06, 54.01.13, 54.01.20, 54.02.01, 54.02.02, 54.02.04, 54.02.06, 54.02.08</t>
  </si>
  <si>
    <t>0316</t>
  </si>
  <si>
    <t>842047.01.01</t>
  </si>
  <si>
    <t>Деловая культура (культура, управ...): Уч.пос. / А.Д.Барышева - М.:НИЦ ИНФРА-М,2025. - 173 с.(СПО)(п)</t>
  </si>
  <si>
    <t>ДЕЛОВАЯ КУЛЬТУРА (КУЛЬТУРА, УПРАВЛЕНИЕ, ЭТИКЕТ)</t>
  </si>
  <si>
    <t>Барышева А.Д.</t>
  </si>
  <si>
    <t>978-5-16-020528-1</t>
  </si>
  <si>
    <t>38.02.02, 38.02.08, 40.02.02, 40.02.04, 43.02.06, 43.02.09, 43.02.11, 43.02.16, 44.02.01, 44.02.02, 44.02.03, 44.02.04</t>
  </si>
  <si>
    <t>Саратовский политехнический колледж</t>
  </si>
  <si>
    <t>695337.05.01</t>
  </si>
  <si>
    <t>Деловая переписка: Уч.практ.пос. / М.В.Кирсанова - 3 изд.-М.:НИЦ ИНФРА-М,2023 - 136 с.(СПО)(О)</t>
  </si>
  <si>
    <t>ДЕЛОВАЯ ПЕРЕПИСКА, ИЗД.3</t>
  </si>
  <si>
    <t>Кирсанова М.В., Анодина Н.Н., Аксенов Ю.М.</t>
  </si>
  <si>
    <t>978-5-16-014547-1</t>
  </si>
  <si>
    <t>Учебно-практическое пособие</t>
  </si>
  <si>
    <t>38.01.01, 38.01.02, 38.01.03, 38.02.01, 38.02.02, 38.02.03, 38.02.06, 38.02.07, 38.02.08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</si>
  <si>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38.02.00 «Экономика и управление»</t>
  </si>
  <si>
    <t>Новосибирский колледж транспортных технологий им. Н.А. Лунина</t>
  </si>
  <si>
    <t>695337.07.01</t>
  </si>
  <si>
    <t>Деловая переписка: Уч.практ.пос. / М.В.Кирсанова - 4 изд.-М.:НИЦ ИНФРА-М,2024 - 153 с.(СПО)(п)</t>
  </si>
  <si>
    <t>ДЕЛОВАЯ ПЕРЕПИСКА, ИЗД.4</t>
  </si>
  <si>
    <t>Кирсанова М.В., Аксенов Ю.М.</t>
  </si>
  <si>
    <t>978-5-16-020013-2</t>
  </si>
  <si>
    <t>0424</t>
  </si>
  <si>
    <t>842290.01.01</t>
  </si>
  <si>
    <t>Деловые коммуникации: Уч.пос. / Е.И.Кривокора - М.:НИЦ ИНФРА-М,2025 - 190 с.(СПО)(п)</t>
  </si>
  <si>
    <t>ДЕЛОВЫЕ КОММУНИКАЦИИ</t>
  </si>
  <si>
    <t>Кривокора Е. И.</t>
  </si>
  <si>
    <t>978-5-16-020321-8</t>
  </si>
  <si>
    <t>08.02.03, 11.02.12, 19.02.10, 21.02.19, 29.02.10, 32.02.01, 34.01.01, 38.01.01, 39.02.02, 43.02.17</t>
  </si>
  <si>
    <t>Северо-Кавказский федеральный университет</t>
  </si>
  <si>
    <t>838968.01.01</t>
  </si>
  <si>
    <t>Делопроизводство и архивное дело: Уч.пос. / Е.В.Зайцева - М.:НИЦ ИНФРА-М,2025. - 258 с.(СПО)(п)</t>
  </si>
  <si>
    <t>ДЕЛОПРОИЗВОДСТВО И АРХИВНОЕ ДЕЛО</t>
  </si>
  <si>
    <t>Зайцева Е.В., Гончарова Н.В.</t>
  </si>
  <si>
    <t>978-5-16-020233-4</t>
  </si>
  <si>
    <t>31.02.02, 39.02.03, 46.01.02, 46.01.03</t>
  </si>
  <si>
    <t>845219.02.01</t>
  </si>
  <si>
    <t>Делопроизводство: Уч. / Под общ. ред. Т.А.Быкова - 5 изд. - М.:НИЦ ИНФРА-М,2025 - 403 с.(СПО)(п)</t>
  </si>
  <si>
    <t>ДЕЛОПРОИЗВОДСТВО, ИЗД.5</t>
  </si>
  <si>
    <t>Быкова Т.А., Вялова Л.М., Кукарина Ю.М. и др.</t>
  </si>
  <si>
    <t>978-5-16-020456-7</t>
  </si>
  <si>
    <t>12.02.05, 23.02.07, 24.02.01, 25.02.06, 38.01.01, 39.02.03, 46.01.02, 46.01.03</t>
  </si>
  <si>
    <t>847435.01.01</t>
  </si>
  <si>
    <t>Демонстрационный экзамен по спец. 38.02.01..: Уч.пос. / Л.В.Пермитина - М.:НИЦ ИНФРА-М,2025. - 207 с.(СПО)(п)</t>
  </si>
  <si>
    <t>ДЕМОНСТРАЦИОННЫЙ ЭКЗАМЕН ПО СПЕЦИАЛЬНОСТИ 38.02.01 ЭКОНОМИКА И БУХГАЛТЕРСКИЙ УЧЕТ (ПО ОТРАСЛЯМ)</t>
  </si>
  <si>
    <t>Пермитина Л.В.</t>
  </si>
  <si>
    <t>978-5-16-020626-4</t>
  </si>
  <si>
    <t>645589.11.01</t>
  </si>
  <si>
    <t>Деревообработка: технологии и оборуд.: Уч.пос. / С.В.Фокин - 2 изд. - М:НИЦ ИНФРА-М,2026 - 203 с.(СПО)</t>
  </si>
  <si>
    <t>ДЕРЕВООБРАБОТКА: ТЕХНОЛОГИИ И ОБОРУДОВАНИЕ, ИЗД.2</t>
  </si>
  <si>
    <t>Фокин С.В., Шпортько О.Н.</t>
  </si>
  <si>
    <t>978-5-16-012433-9</t>
  </si>
  <si>
    <t>08.01.24, 08.02.01, 35.01.05, 35.01.28, 35.02.18</t>
  </si>
  <si>
    <t>Рекомендовано  в качестве учебного пособия для учебных заведений, реализующих программу професионального образования по специальности 35.02.03 «Технология деревообработки»</t>
  </si>
  <si>
    <t>719237.02.01</t>
  </si>
  <si>
    <t>Детали машин и основы конструирования...: Уч.пос. / В.А.Жуков, - 2 изд.-М.:НИЦ ИНФРА-М,2023-416с(П)</t>
  </si>
  <si>
    <t>ДЕТАЛИ МАШИН И ОСНОВЫ КОНСТРУИРОВАНИЯ: ОСНОВЫ РАСЧЕТА И ПРОЕКТИРОВАНИЯ СОЕДИНЕНИЙ И ПЕРЕДАЧ, ИЗД.2</t>
  </si>
  <si>
    <t>Жуков В.А.</t>
  </si>
  <si>
    <t>978-5-16-015609-5</t>
  </si>
  <si>
    <t>15.02.01, 15.02.04, 15.02.16, 23.02.02, 24.02.01, 24.02.02, 25.02.02, 25.02.06, 26.02.02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</si>
  <si>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15.02.00 «Машиностроение» (протокол № 12 от 24.06.2019)</t>
  </si>
  <si>
    <t>072290.26.01</t>
  </si>
  <si>
    <t>Детали машин. Краткий курс,практ..: Уч.пос. / В.П.Олофинская - 4 изд. - М.:Форум,НИЦ ИНФРА-М,2026 - 232 с.(П)</t>
  </si>
  <si>
    <t>ДЕТАЛИ МАШИН. КРАТКИЙ КУРС, ПРАКТИЧЕСКИЕ ЗАНЯТИЯ И ТЕСТОВЫЕ ЗАДАНИЯ, ИЗД.4</t>
  </si>
  <si>
    <t>Олофинская В.П.</t>
  </si>
  <si>
    <t>978-5-91134-918-9</t>
  </si>
  <si>
    <t>13.02.12, 13.02.13, 15.01.26, 15.01.27, 15.01.35, 15.01.36, 15.01.38, 15.02.01, 15.02.16, 15.02.17, 23.02.07, 25.02.02, 26.02.03, 26.02.04</t>
  </si>
  <si>
    <t>Колледж московского транспорта</t>
  </si>
  <si>
    <t>0414</t>
  </si>
  <si>
    <t>072290.18.01</t>
  </si>
  <si>
    <t>Детали машин. Краткий курс,практ.занятия:Уч.пос./В.П.Олофинская-3изд-Форум,НИЦ ИНФРА-М,2021-240с(ПО)</t>
  </si>
  <si>
    <t>ДЕТАЛИ МАШИН. КРАТКИЙ КУРС, ПРАКТИЧЕСКИЕ ЗАНЯТИЯ И ТЕСТОВЫЕ ЗАДАНИЯ, ИЗД.3</t>
  </si>
  <si>
    <t>Олофинская В. П.</t>
  </si>
  <si>
    <t>978-5-00091-457-1</t>
  </si>
  <si>
    <t>682858.08.01</t>
  </si>
  <si>
    <t>Детали машин. Основы теории, расчета и...: Уч.пос. / В.П.Олофинская - М.:НИЦ ИНФРА-М,2026. - 72 с.(СПО)(о)</t>
  </si>
  <si>
    <t>ДЕТАЛИ МАШИН. ОСНОВЫ ТЕОРИИ, РАСЧЕТА И КОНСТРУИРОВАНИЯ</t>
  </si>
  <si>
    <t>978-5-16-021147-3</t>
  </si>
  <si>
    <t>13.02.12, 13.02.13, 15.02.01, 15.02.17, 23.02.02, 23.02.03, 23.02.07, 25.02.02, 26.02.04</t>
  </si>
  <si>
    <t>Рекомендовано Учебно-методическим советом среднего профессионального образования в качестве учебного пособия для студентов, обучающихся по направлениям подготовки 15.02.08 «Технология машиностроения» и 15.02.07 «Автоматизация технологических процессов и производств (по отраслям)»</t>
  </si>
  <si>
    <t>079000.15.01</t>
  </si>
  <si>
    <t>Детали машин: тип. расчеты на прочность: Уч.пос. / Т.В.Хруничева - М.:ИД ФОРУМ, НИЦ ИНФРА-М,2026. - 224 с.(П)</t>
  </si>
  <si>
    <t>ДЕТАЛИ МАШИН: ТИПОВЫЕ РАСЧЕТЫ НА ПРОЧНОСТЬ</t>
  </si>
  <si>
    <t>Хруничева Т. В.</t>
  </si>
  <si>
    <t>978-5-8199-0846-4</t>
  </si>
  <si>
    <t>07.02.01, 08.02.01, 08.02.02, 08.02.03, 08.02.04, 08.02.08, 08.02.09, 08.02.12, 08.02.13, 08.02.14, 11.02.06, 12.02.01, 12.02.03, 12.02.04, 12.02.05, 12.02.07, 12.02.08, 12.02.09, 13.02.01, 13.02.02, 13.02.04, 13.02.05, 13.02.07, 13.02.08, 13.02.09, 13.02.12, 13.02.13, 14.02.01, 14.02.02, 15.01.26, 15.01.27, 15.01.35, 15.01.36, 15.01.38, 15.02.01, 15.02.03, 15.02.04, 15.02.06, 15.02.07, 15.02.09, 15.02.10, 15.02.16, 15.02.17, 15.02.18, 15.02.19, 18.02.10, 18.02.13, 19.02.11, 19.02.12, 20.02.02, 20.02.04, 20.02.06, 21.01.08, 21.01.17, 21.02.01, 21.02.02, 21.02.03, 21.02.09, 21.02.12, 21.02.14, 21.02.15, 21.02.16, 21.02.17, 21.02.18, 22.02.08, 23.01.02, 23.02.01, 23.02.02, 23.02.03, 23.02.04, 23.02.05, 23.02.06, 23.02.07, 23.02.08, 24.02.01, 24.02.02, 24.02.04, 25.02.01, 25.02.02, 25.02.03, 25.02.04, 25.02.05, 25.02.06, 25.02.07, 25.02.08, 26.02.04, 27.02.01, 27.02.02, 27.02.04, 27.02.07, 29.02.05, 29.02.08, 29.02.11, 35.02.02, 35.02.07, 35.02.08, 35.02.11, 35.02.16, 35.02.18, 44.02.06</t>
  </si>
  <si>
    <t>Рекомендовано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«Машиностроение»</t>
  </si>
  <si>
    <t>Колледж автомобильного транспорта №9</t>
  </si>
  <si>
    <t>757836.04.01</t>
  </si>
  <si>
    <t>Детская литература: теория и прак...: Уч.пос. / О.В.Пилясова - М.:НИЦ ИНФРА-М,2026 - 207 с.(СПО)(п)</t>
  </si>
  <si>
    <t>ДЕТСКАЯ ЛИТЕРАТУРА: ТЕОРИЯ И ПРАКТИКА ВЫРАЗИТЕЛЬНОГО ЧТЕНИЯ</t>
  </si>
  <si>
    <t>Пилясова О.В., Смирнова Ю.В.</t>
  </si>
  <si>
    <t>978-5-16-017641-3</t>
  </si>
  <si>
    <t>44.02.01, 44.02.02, 44.02.05, 51.02.03</t>
  </si>
  <si>
    <t>733351.07.01</t>
  </si>
  <si>
    <t>Детская литература: Уч. / Г.М.Первова - М.:НИЦ ИНФРА-М,2026 - 190 с.-(СПО)(П)</t>
  </si>
  <si>
    <t>ДЕТСКАЯ ЛИТЕРАТУРА</t>
  </si>
  <si>
    <t>Первова Г.М.</t>
  </si>
  <si>
    <t>978-5-16-016136-5</t>
  </si>
  <si>
    <t>44.02.01, 44.02.02, 44.02.04, 44.02.05, 51.02.03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</si>
  <si>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 (протокол № 8 от 22.06.2020)</t>
  </si>
  <si>
    <t>Тамбовский государственный университет им. Г.Р. Державина</t>
  </si>
  <si>
    <t>669692.06.01</t>
  </si>
  <si>
    <t>Детская психология: Уч. / Г.А.Урунтаева - 11 изд. - М.:НИЦ ИНФРА-М,2026 - 372 с.(СПО)(П)</t>
  </si>
  <si>
    <t>ДЕТСКАЯ ПСИХОЛОГИЯ, ИЗД.11</t>
  </si>
  <si>
    <t>Урунтаева Г.А.</t>
  </si>
  <si>
    <t>978-5-16-015972-0</t>
  </si>
  <si>
    <t>39.02.01, 44.02.01, 44.02.02, 44.02.03, 44.02.04, 44.02.05, 44.02.06, 49.02.02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</si>
  <si>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педагогическим и психологическим специальностям (протокол № 10 от 12.10.2020)</t>
  </si>
  <si>
    <t>Институт изучения детства, семьи и воспитания Российской академии образования</t>
  </si>
  <si>
    <t>1121</t>
  </si>
  <si>
    <t>838969.01.01</t>
  </si>
  <si>
    <t>Диагностика и тех. обслуж. электроустановок..: Уч.пос. / Ю.Д.Сибикин-2изд.-М.:НИЦ ИНФРА-М,2025-391с(СПО)(п)</t>
  </si>
  <si>
    <t>ДИАГНОСТИКА И ТЕХНИЧЕСКОЕ ОБСЛУЖИВАНИЕ ЭЛЕКТРОУСТАНОВОК ПОТРЕБИТЕЛЕЙ, ИЗД.2</t>
  </si>
  <si>
    <t>978-5-16-020235-8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</si>
  <si>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направлению подготовки 13.03.02 «Электроэнергетика и электротехника» (квалификация (степень) «бакалавр») (протокол № 4 от 13.04.2022)</t>
  </si>
  <si>
    <t>733217.08.01</t>
  </si>
  <si>
    <t>Диагностика техн. состояния автотранспортных средств: Уч.пос. / Ю.А.Смирнов - М.:ИЦ РИОР, НИЦ ИНФРА-М,2026 - 180 с.(П)</t>
  </si>
  <si>
    <t>ДИАГНОСТИКА ТЕХНИЧЕСКОГО СОСТОЯНИЯ АВТОТРАНСПОРТНЫХ СРЕДСТВ</t>
  </si>
  <si>
    <t>Смирнов Ю.А.</t>
  </si>
  <si>
    <t>978-5-369-01839-2</t>
  </si>
  <si>
    <t>23.02.05</t>
  </si>
  <si>
    <t>684809.08.01</t>
  </si>
  <si>
    <t>Диагностика электрооборуд. автомоб. и  тракторов: Уч.пос. / В.А.Набоких - 2изд.-М.:Форум,НИЦ ИНФРА-М,2023-287 с(П)</t>
  </si>
  <si>
    <t>ДИАГНОСТИКА ЭЛЕКТРООБОРУДОВАНИЯ АВТОМОБИЛЕЙ И  ТРАКТОРОВ, ИЗД.2</t>
  </si>
  <si>
    <t>978-5-00091-591-2</t>
  </si>
  <si>
    <t>11.02.16, 23.02.02, 23.02.03, 23.02.07, 35.01.01, 35.01.15, 36.01.04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</si>
  <si>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23.02.02 «Автомобиле- и тракторостроение», 23.02.03 «Техническое обслуживание и ремонт автомобильного транспорта»</t>
  </si>
  <si>
    <t>769694.01.01</t>
  </si>
  <si>
    <t>Дизайн в культурном пространстве: Уч.пос. / Л.М.Дмитриева - М.:Магистр, НИЦ ИНФРА-М,2026. - 152 с.(СПО)(о)</t>
  </si>
  <si>
    <t>ДИЗАЙН В КУЛЬТУРНОМ ПРОСТРАНСТВЕ</t>
  </si>
  <si>
    <t>Дмитриева Л.М., Балюта П.А.</t>
  </si>
  <si>
    <t>978-5-9776-0545-8</t>
  </si>
  <si>
    <t>43.01.11, 54.01.01, 54.01.06, 54.01.12, 54.01.20, 54.02.01</t>
  </si>
  <si>
    <t>Омский государственный технический университет</t>
  </si>
  <si>
    <t>851910.01.01</t>
  </si>
  <si>
    <t>Дизайн и рекламные технологии: Уч.пос. /О.Н.Ткаченко - М.:Магистр, НИЦ ИНФРА-М,2025 -176 с.(СПО)(о)</t>
  </si>
  <si>
    <t>ДИЗАЙН И РЕКЛАМНЫЕ ТЕХНОЛОГИИ</t>
  </si>
  <si>
    <t>Ткаченко О.Н., Дмитриева Л.М.</t>
  </si>
  <si>
    <t>978-5-9776-0583-0</t>
  </si>
  <si>
    <t>42.02.01, 54.02.01</t>
  </si>
  <si>
    <t>077650.26.01</t>
  </si>
  <si>
    <t>Дипломное проектир. автотрансп. предпр.: Уч.пос. / И.С.Туревский - М.:ИД Форум,НИЦ ИНФРА-М,2026 - 240 с(СПО)(П)</t>
  </si>
  <si>
    <t>ДИПЛОМНОЕ ПРОЕКТИРОВАНИЕ АВТОТРАНСПОРТНЫХ ПРЕДПРИЯТИЙ</t>
  </si>
  <si>
    <t>978-5-8199-0765-8</t>
  </si>
  <si>
    <t>23.01.03, 23.01.17, 23.02.02, 23.02.03, 23.02.07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</si>
  <si>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специальности «Техническое обслуживание и ремонт автомобильного транспорта»</t>
  </si>
  <si>
    <t>085890.11.01</t>
  </si>
  <si>
    <t>Дипломное проектир. станций тех. обслуж.: Уч.пос. / И.С.Туревский - М.:ИД ФОРУМ, ИНФРА-М,2025 - 240 с.(п)</t>
  </si>
  <si>
    <t>ДИПЛОМНОЕ ПРОЕКТИРОВАНИЕ СТАНЦИЙ ТЕХНИЧЕСКОГО ОБСЛУЖИВАНИЯ АВТОМОБИЛЕЙ</t>
  </si>
  <si>
    <t>Туревский И.С., Колубаев Б.Д.</t>
  </si>
  <si>
    <t>978-5-8199-0750-4</t>
  </si>
  <si>
    <t>23.01.03, 23.01.17, 23.02.03, 23.02.07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</si>
  <si>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специальности 23.02.03 «Техническое обслуживание и ремонт автомобильного транспорта»</t>
  </si>
  <si>
    <t>720207.04.01</t>
  </si>
  <si>
    <t>Дискретная математика. Задачи и упр. с реш.: Уч.мет.пос. / А.А.Вороненко - 2 изд. - М.:ИНФРА-М,2026-105с(О)</t>
  </si>
  <si>
    <t>ДИСКРЕТНАЯ МАТЕМАТИКА. ЗАДАЧИ И УПРАЖНЕНИЯ С РЕШЕНИЯМИ, ИЗД.2</t>
  </si>
  <si>
    <t>Вороненко А.А., Федорова В.С.</t>
  </si>
  <si>
    <t>978-5-16-015671-2</t>
  </si>
  <si>
    <t>09.02.01, 09.02.05, 09.02.06, 09.02.07, 09.02.08, 09.02.09, 09.02.10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</si>
  <si>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09.02.00 «Информатика и вычислительная техника» (протокол № 17 от 11.11.2019)</t>
  </si>
  <si>
    <t>Московский государственный университет им. М.В. Ломоносова, факультет вычислительной математики и кибернетики</t>
  </si>
  <si>
    <t>646565.06.01</t>
  </si>
  <si>
    <t>Дискретная математика. Сборник задач: Уч.пос. / А.И.Гусева и др. - М.:КУРС, НИЦ ИНФРА-М,2026 - 224 с.(П)</t>
  </si>
  <si>
    <t>ДИСКРЕТНАЯ МАТЕМАТИКА. СБОРНИК ЗАДАЧ</t>
  </si>
  <si>
    <t>Гусева А.И., Киреев В.С., Тихомирова А.Н.</t>
  </si>
  <si>
    <t>978-5-906818-72-0</t>
  </si>
  <si>
    <t>646563.08.01</t>
  </si>
  <si>
    <t>Дискретная математика: Уч. / А.И.Гусева - М.:КУРС, НИЦ ИНФРА-М,2026 - 208 с.-(СПО)(П)</t>
  </si>
  <si>
    <t>ДИСКРЕТНАЯ МАТЕМАТИКА</t>
  </si>
  <si>
    <t>978-5-906818-21-8</t>
  </si>
  <si>
    <t>720240.03.01</t>
  </si>
  <si>
    <t>Дискретная математика: Уч.пос. / В.В.Куликов - М.:ИЦ РИОР, НИЦ ИНФРА-М,2026 - 174 с.-(СПО)(П)</t>
  </si>
  <si>
    <t>Куликов В.В.</t>
  </si>
  <si>
    <t>978-5-369-01826-2</t>
  </si>
  <si>
    <t>079850.19.01</t>
  </si>
  <si>
    <t>Дискретная математика: Уч.пос. / С.А.Канцедал - М.:НИЦ ИНФРА-М,2026. - 222 с.(СПО)(п)</t>
  </si>
  <si>
    <t>Канцедал С. А.</t>
  </si>
  <si>
    <t>978-5-16-021149-7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</si>
  <si>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</t>
  </si>
  <si>
    <t>682859.07.01</t>
  </si>
  <si>
    <t>Доврачебная мед. помощь при неотложных сост. у детей: Уч.пос. / Д.И.Зелинская-М.:НИЦ ИНФРА-М,2025.-74с(О)</t>
  </si>
  <si>
    <t>ДОВРАЧЕБНАЯ МЕДИЦИНСКАЯ ПОМОЩЬ ПРИ НЕОТЛОЖНЫХ СОСТОЯНИЯХ У ДЕТЕЙ</t>
  </si>
  <si>
    <t>Зелинская Д.И., Терлецкая Р.Н.</t>
  </si>
  <si>
    <t>978-5-16-013912-8</t>
  </si>
  <si>
    <t>34.02.01</t>
  </si>
  <si>
    <t>Рекомендовано в качестве учебного пособия для студентов средних профессиональных учебных заведений, обучающихся по специальности 34.02.01 «Сестринское дело»</t>
  </si>
  <si>
    <t>Российская медицинская академия непрерывного профессионального образования</t>
  </si>
  <si>
    <t>703746.08.01</t>
  </si>
  <si>
    <t>Документационное обеспеч. кадровой деят. в..: Уч.пос. / Можаева Н.Г. - М.:НИЦ ИНФРА-М,2026 - 99 с.(СПО)(О)</t>
  </si>
  <si>
    <t>ДОКУМЕНТАЦИОННОЕ ОБЕСПЕЧЕНИЕ КАДРОВОЙ ДЕЯТЕЛЬНОСТИ В СФЕРЕ ИНДУСТРИИ ГОСТЕПРИИМСТВА</t>
  </si>
  <si>
    <t>Лаврентьева М.Г., Можаев А.В., Можаева Н.Г.</t>
  </si>
  <si>
    <t>978-5-16-014893-9</t>
  </si>
  <si>
    <t>43.02.16, 46.01.03, 46.02.01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</si>
  <si>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43.02.10 «Туризм», 43.02.11 «Гостиничный сервис», 43.02.14 «Гостиничное дело»</t>
  </si>
  <si>
    <t>Московский колледж бизнес-технологий</t>
  </si>
  <si>
    <t>729086.03.01</t>
  </si>
  <si>
    <t>Документирование хоз. операций и ведение бух. учета имущества орг.: Уч. / М.Д.Акатьева-М.:НИЦ ИНФРА-М,2022-242 с.-(СПО)(П)</t>
  </si>
  <si>
    <t>ДОКУМЕНТИРОВАНИЕ ХОЗЯЙСТВЕННЫХ ОПЕРАЦИЙ И ВЕДЕНИЕ БУХГАЛТЕРСКОГО УЧЕТА ИМУЩЕСТВА ОРГАНИЗАЦИИ</t>
  </si>
  <si>
    <t>978-5-16-015928-7</t>
  </si>
  <si>
    <t>38.01.01, 38.02.01, 38.02.03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</si>
  <si>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«Экономика и бухгалтерский учет (по отраслям)» (протокол № 8 от 22.06.2020)</t>
  </si>
  <si>
    <t>АКАДЕМУС-2020, Победитель</t>
  </si>
  <si>
    <t>771935.01.01</t>
  </si>
  <si>
    <t>Документирование хоз.операций и ведение бух. учета..: Уч. / Г.И.Алексеева-М.:НИЦ ИНФРА-М,2024.-459 с.(п)</t>
  </si>
  <si>
    <t>978-5-16-018032-8</t>
  </si>
  <si>
    <t>706523.12.01</t>
  </si>
  <si>
    <t>Допуски, посадки и технич. измерения: Уч.пос. / В.Э.Завистовский - М.:НИЦ ИНФРА-М,2026  - 278 с.(СПО)(П)</t>
  </si>
  <si>
    <t>ДОПУСКИ, ПОСАДКИ И ТЕХНИЧЕСКИЕ ИЗМЕРЕНИЯ</t>
  </si>
  <si>
    <t>Завистовский В.Э., Завистовский С.Э.</t>
  </si>
  <si>
    <t>978-5-16-015152-6</t>
  </si>
  <si>
    <t>15.01.35, 15.01.37, 15.02.01, 15.02.04, 15.02.07, 15.02.10, 15.02.16, 15.02.17, 15.02.18, 22.01.04, 23.01.10, 24.01.01, 26.02.02, 35.01.05, 35.01.30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</si>
  <si>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программы среднего профессионального образования по техническим специальностям (протокол № 5 от 11.03.2019)</t>
  </si>
  <si>
    <t>Полоцкий государственный университет, научная библиотека</t>
  </si>
  <si>
    <t>818356.04.01</t>
  </si>
  <si>
    <t>Дошкольная педагогика: Уч.пос. / С.Д.Кириенко - М.:НИЦ ИНФРА-М,2026. - 272 с. (СПО)(п)</t>
  </si>
  <si>
    <t>ДОШКОЛЬНАЯ ПЕДАГОГИКА</t>
  </si>
  <si>
    <t>Кириенко С.Д., Проняева С.В.</t>
  </si>
  <si>
    <t>978-5-16-019438-7</t>
  </si>
  <si>
    <t>44.02.01, 44.02.03, 44.02.04, 44.02.05</t>
  </si>
  <si>
    <t>Южно-Уральский государственный гуманитарно-педагогический университет</t>
  </si>
  <si>
    <t>682646.06.01</t>
  </si>
  <si>
    <t>Дошкольное образование: Уч.пос. / И.С.Тундалева - М.:НИЦ ИНФРА-М,2026 - 223 с.(СПО)(П)</t>
  </si>
  <si>
    <t>ДОШКОЛЬНОЕ ОБРАЗОВАНИЕ</t>
  </si>
  <si>
    <t>Тундалева И.С.</t>
  </si>
  <si>
    <t>978-5-16-015540-1</t>
  </si>
  <si>
    <t>44.02.01, 44.02.04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</si>
  <si>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44.02.01 «Дошкольное образование» (протокол № 8 от 20.10.2021)</t>
  </si>
  <si>
    <t>Южно-Уральский государственный университет (национальный исследовательский университет)</t>
  </si>
  <si>
    <t>694850.05.01</t>
  </si>
  <si>
    <t>Древнерусское искусство: Уч. / В.Д.Черный - М.:Вуз. уч., НИЦ ИНФРА-М,2025 - 661 с.-(СПО)(П)</t>
  </si>
  <si>
    <t>ДРЕВНЕРУССКОЕ ИСКУССТВО</t>
  </si>
  <si>
    <t>Черный В.Д.</t>
  </si>
  <si>
    <t>978-5-9558-0629-7</t>
  </si>
  <si>
    <t>29.01.04, 29.01.09, 38.02.02, 42.02.01, 43.02.02, 50.02.01, 51.02.01, 51.02.02, 51.02.03, 52.02.03, 52.02.04, 52.02.05, 54.01.02, 54.01.05, 54.01.06, 54.01.13, 54.02.01, 54.02.02, 54.02.04, 54.02.06, 54.02.08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</si>
  <si>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50.02.01 «Мировая художественная культура», 51.02.01 «Народное художественное творчество (по видам)», 51.02.02 «Социально-культурная деятельность (по видам)», 51.02.03 «Библиотековедение»</t>
  </si>
  <si>
    <t>154350.13.01</t>
  </si>
  <si>
    <t>Железобетонные конструкции: Уч.пос. / Т.А.Журавская - 2 изд. - М.:НИЦ ИНФРА-М,2025 - 153 с.(СПО)(П)</t>
  </si>
  <si>
    <t>ЖЕЛЕЗОБЕТОННЫЕ КОНСТРУКЦИИ, ИЗД.2</t>
  </si>
  <si>
    <t>Журавская Т.А.</t>
  </si>
  <si>
    <t>978-5-16-013653-0</t>
  </si>
  <si>
    <t>08.02.01, 08.02.03</t>
  </si>
  <si>
    <t>Рекомендовано методическим советом Учебно-методического центра по профессиональному образованию Департамента образования города Москвы в качестве учебного пособия для студентов образовательных учреждений среднего профессионального образования по дисциплине «Строительные конструкции» по специальности 08.02.01 «Строительство и эксплуатация зданий и сооружений»</t>
  </si>
  <si>
    <t>154350.05.01</t>
  </si>
  <si>
    <t>Железобетонные конструкции: Уч.пос. / Т.А.Журавская - М.:НИЦ ИНФРА-М,2018 - 152 с.-(СПО)(О)</t>
  </si>
  <si>
    <t>ЖЕЛЕЗОБЕТОННЫЕ КОНСТРУКЦИИ</t>
  </si>
  <si>
    <t>978-5-16-013467-3</t>
  </si>
  <si>
    <t>685726.04.01</t>
  </si>
  <si>
    <t>Женщины и армия: уч. модуль для девушек: Уч.пос. / Под ред. Алексеева С.В.-М.:НИЦ ИНФРА-М,2024.-208с(П)</t>
  </si>
  <si>
    <t>ЖЕНЩИНЫ И АРМИЯ: УЧЕБНЫЙ МОДУЛЬ ДЛЯ ДЕВУШЕК</t>
  </si>
  <si>
    <t>Алексеев С.В., Данченко С.П., Костецкая Г.А. и др.</t>
  </si>
  <si>
    <t>978-5-16-015506-7</t>
  </si>
  <si>
    <t>00.01.01, 00.02.01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</si>
  <si>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(протокол № 14 от 30.09.2019)</t>
  </si>
  <si>
    <t>Санкт-Петербургская академия постдипломного педагогического образования имени К.Д. Ушинского</t>
  </si>
  <si>
    <t>712570.04.01</t>
  </si>
  <si>
    <t>Защита древесины и деревянных конструкций: Уч.пос. / Е.И.Стенина - М.:НИЦ ИНФРА-М,2026. - 219 с.(СПО)(П)</t>
  </si>
  <si>
    <t>ЗАЩИТА ДРЕВЕСИНЫ И ДЕРЕВЯННЫХ КОНСТРУКЦИЙ</t>
  </si>
  <si>
    <t>Стенина Е.И.</t>
  </si>
  <si>
    <t>978-5-16-015565-4</t>
  </si>
  <si>
    <t>35.02.18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</si>
  <si>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35.02.03 «Технология деревообработки» (протокол № 12 от 24.06.2019)</t>
  </si>
  <si>
    <t>Уральский государственный лесотехнический университет</t>
  </si>
  <si>
    <t>838456.01.01</t>
  </si>
  <si>
    <t>Защита и безопасность в чрезвыч. ситуац.: Уч.пос. / В.И.Жуков - М.:НИЦ ИНФРА-М,2025 - 392 с.(СПО)(п)</t>
  </si>
  <si>
    <t>ЗАЩИТА И БЕЗОПАСНОСТЬ В ЧРЕЗВЫЧАЙНЫХ СИТУАЦИЯХ</t>
  </si>
  <si>
    <t>Жуков В. И., Горбунова Л. Н.</t>
  </si>
  <si>
    <t>Среднее профессиональное образование (СФУ)</t>
  </si>
  <si>
    <t>978-5-16-020204-4</t>
  </si>
  <si>
    <t>08.02.12, 23.02.01, 23.02.03</t>
  </si>
  <si>
    <t>Сибирский федеральный университет</t>
  </si>
  <si>
    <t>109100.15.01</t>
  </si>
  <si>
    <t>Защита информации в персонал. компьютере: Уч.пос. / Н.З.Емельянова - 2 изд. - М.:Форум, НИЦ ИНФРА-М,2026 - 368 с(П)</t>
  </si>
  <si>
    <t>ЗАЩИТА ИНФОРМАЦИИ В ПЕРСОНАЛЬНОМ КОМПЬЮТЕРЕ, ИЗД.2</t>
  </si>
  <si>
    <t>Емельянова Н. З., Партыка Т. Л., Попов И. И.</t>
  </si>
  <si>
    <t>978-5-00091-466-3</t>
  </si>
  <si>
    <t>09.02.01, 09.02.02, 09.02.03, 09.02.04, 09.02.05, 09.02.06, 09.02.07, 10.02.01, 10.02.02, 10.02.03, 10.02.04, 10.02.05, 11.02.15, 43.02.06</t>
  </si>
  <si>
    <t>Московский энергетический институт</t>
  </si>
  <si>
    <t>0215</t>
  </si>
  <si>
    <t>757841.04.01</t>
  </si>
  <si>
    <t>Защита окружающей среды от промыш. газ. выбр.: Уч.пос. / М.И.Клюшенкова - М.:НИЦ ИНФРА-М,2025. - 142 с.(П)</t>
  </si>
  <si>
    <t>ЗАЩИТА ОКРУЖАЮЩЕЙ СРЕДЫ ОТ ПРОМЫШЛЕННЫХ ГАЗОВЫХ ВЫБРОСОВ</t>
  </si>
  <si>
    <t>Клюшенкова М.И., Луканин А.В.</t>
  </si>
  <si>
    <t>978-5-16-016927-9</t>
  </si>
  <si>
    <t>15.01.29, 19.01.02, 20.02.01, 20.02.02, 35.01.01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</si>
  <si>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20.02.00 «Техносферная безопасность и природообустройство» (протокол № 11 от 09.11.2020)</t>
  </si>
  <si>
    <t>392800.10.01</t>
  </si>
  <si>
    <t>Защита почв от эрозии и дефляции, воспроизвод. их плод.: Уч. / А.И.Беленков - М.:НИЦ ИНФРА-М,2024-252с(П)</t>
  </si>
  <si>
    <t>ЗАЩИТА ПОЧВ ОТ ЭРОЗИИ И ДЕФЛЯЦИИ, ВОСПРОИЗВОДСТВО ИХ ПЛОДОРОДИЯ</t>
  </si>
  <si>
    <t>Беленков А.И., Плескачев Ю.Н., Николаев В.А. и др.</t>
  </si>
  <si>
    <t>978-5-16-011188-9</t>
  </si>
  <si>
    <t>19.02.11, 19.02.12, 20.02.01, 35.01.26, 35.01.27, 35.02.01, 35.02.05, 35.02.07, 35.02.16, 43.01.11</t>
  </si>
  <si>
    <t>Рекомендовано в качестве учебника для учебных заведений, реализующих программу среднего профессионального образования по специальности 35.02.05 «Агрономия»</t>
  </si>
  <si>
    <t>728770.09.01</t>
  </si>
  <si>
    <t>Здоровый человек и его окружение: Уч. / С.Р.Волков - М.:НИЦ ИНФРА-М,2025 - 641 с.-(СПО)(П)</t>
  </si>
  <si>
    <t>ЗДОРОВЫЙ ЧЕЛОВЕК И ЕГО ОКРУЖЕНИЕ</t>
  </si>
  <si>
    <t>Волков С.Р., Волкова М.М.</t>
  </si>
  <si>
    <t>978-5-16-016062-7</t>
  </si>
  <si>
    <t>31.02.01, 31.02.02, 31.02.05, 31.02.06, 32.02.01, 34.02.01, 34.02.02</t>
  </si>
  <si>
    <t>Рекомендовано ГОУ ВПО «Первый Московский государственный медицинский университет имени И.М. Сеченова» в качестве учебника для студентов учреждений среднего профессионального образования, обучающихся по специальностям «Лечебное дело» и «Сестринское дело»</t>
  </si>
  <si>
    <t>Московский областной медицинский колледж № 1</t>
  </si>
  <si>
    <t>682861.07.01</t>
  </si>
  <si>
    <t>Здоровье ребенка в совр. информац. среде: Уч.мет.пос. / Т.Н.Ле-ван - М.:НИЦ ИНФРА-М,2026. - 224 с.(СПО)(п)</t>
  </si>
  <si>
    <t>ЗДОРОВЬЕ РЕБЕНКА В СОВРЕМЕННОЙ ИНФОРМАЦИОННОЙ СРЕДЕ</t>
  </si>
  <si>
    <t>Ле-ван Т.Н.</t>
  </si>
  <si>
    <t>978-5-16-021213-5</t>
  </si>
  <si>
    <t>00.01.04, 00.02.15, 44.02.01, 44.02.02, 44.02.03, 44.02.04, 44.02.05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</si>
  <si>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 укрупненной группе специальностей 44.02.00 «Образование и педагогические науки»</t>
  </si>
  <si>
    <t>768638.07.01</t>
  </si>
  <si>
    <t>Земельные правоотношения: Уч.пос. / С.А.Липски - М.:НИЦ ИНФРА-М,2026. - 194 с.(СПО)(П)</t>
  </si>
  <si>
    <t>ЗЕМЕЛЬНЫЕ ПРАВООТНОШЕНИЯ</t>
  </si>
  <si>
    <t>Липски С.А.</t>
  </si>
  <si>
    <t>978-5-16-017337-5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</si>
  <si>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21.02.04 «Землеустройство» (протокол № 1 от 12.01.2022)</t>
  </si>
  <si>
    <t>Государственный университет по землеустройству</t>
  </si>
  <si>
    <t>682863.08.01</t>
  </si>
  <si>
    <t>Земледелие. Практикум: Уч.пос. / И.П.Васильев. - М.:НИЦ ИНФРА-М,2026. - 424 с.(СПО)(П)</t>
  </si>
  <si>
    <t>ЗЕМЛЕДЕЛИЕ. ПРАКТИКУМ</t>
  </si>
  <si>
    <t>Васильев И.П., Баздырев Г.И., Туликов А.М. и др.</t>
  </si>
  <si>
    <t>978-5-16-013915-9</t>
  </si>
  <si>
    <t>19.02.11, 19.02.12, 20.02.01, 21.02.19, 35.01.26, 35.01.27, 35.02.01, 35.02.05, 35.02.07, 35.02.12, 35.02.16, 43.01.11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</si>
  <si>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35.02.05 «Агрономия», 35.02.06 «Технология производства и переработки сельскохозяйственной продукции», 35.02.07 «Механизация сельского хозяйства»</t>
  </si>
  <si>
    <t>682862.08.01</t>
  </si>
  <si>
    <t>Земледелие: Уч.пос. / А.И.Беленков и др. - М.:НИЦ ИНФРА-М,2025. - 237 с.(СПО)(П)</t>
  </si>
  <si>
    <t>ЗЕМЛЕДЕЛИЕ</t>
  </si>
  <si>
    <t>978-5-16-013914-2</t>
  </si>
  <si>
    <t>АКАДЕМУС-2017, Победитель</t>
  </si>
  <si>
    <t>682864.08.01</t>
  </si>
  <si>
    <t>Землеустройство и упр. землепользованием: Уч.пос. / В.В.Слезко - 2 изд. - М.:НИЦ ИНФРА-М,2025 - 221 с.(СПО)(п)</t>
  </si>
  <si>
    <t>ЗЕМЛЕУСТРОЙСТВО И УПРАВЛЕНИЕ ЗЕМЛЕПОЛЬЗОВАНИЕМ, ИЗД.2</t>
  </si>
  <si>
    <t>978-5-16-019376-2</t>
  </si>
  <si>
    <t>682864.05.01</t>
  </si>
  <si>
    <t>Землеустройство и управление землепользованием: Уч.пос. / В.В.Слезко.-М.:НИЦ ИНФРА-М,2022.-221с(СПО)(П)</t>
  </si>
  <si>
    <t>ЗЕМЛЕУСТРОЙСТВО И УПРАВЛЕНИЕ ЗЕМЛЕПОЛЬЗОВАНИЕМ</t>
  </si>
  <si>
    <t>978-5-16-013916-6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</si>
  <si>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21.02.04 «Землеустройство», 21.02.05 «Земельно-имущественные отношения»,  21.02.06 «Информационные системы обеспечения градостроительной деятельности»</t>
  </si>
  <si>
    <t>682865.03.01</t>
  </si>
  <si>
    <t>Зоология с основами экологии: Уч.пос. / Л.Н.Ердаков - М.:НИЦ ИНФРА-М,2024 - 223 с.-(СПО)(П)</t>
  </si>
  <si>
    <t>ЗООЛОГИЯ С ОСНОВАМИ ЭКОЛОГИИ</t>
  </si>
  <si>
    <t>Ердаков Л.Н.</t>
  </si>
  <si>
    <t>978-5-16-013917-3</t>
  </si>
  <si>
    <t>44.02.01, 44.02.02, 44.02.03, 44.02.05</t>
  </si>
  <si>
    <t>Рекомендовано Учебно-методическим советом СПО в качестве  учебного пособия для студентов учебных заведений, реализующих программу среднего профессионального образования по специальностям 44.02.01 «Дошкольное образование», 44.02.02 «Преподавание в начальных классах», 44.02.03 «Педагогика дополнительного образования», 44.02.06 «Профессиональное обучение (по отраслям)»</t>
  </si>
  <si>
    <t>Институт систематики и экологии животных Сибирского отделения Российской Академии Наук</t>
  </si>
  <si>
    <t>730657.06.01</t>
  </si>
  <si>
    <t>Игровые коммуникатив. технологии в услов. инклюзив. обр.: Уч.пос. / С.В.Гайченко - М.:НИЦ ИНФРА-М,2026 - 83 с.(О)</t>
  </si>
  <si>
    <t>ИГРОВЫЕ КОММУНИКАТИВНЫЕ ТЕХНОЛОГИИ В УСЛОВИЯХ ИНКЛЮЗИВНОГО ОБРАЗОВАНИЯ</t>
  </si>
  <si>
    <t>Гайченко С.В.</t>
  </si>
  <si>
    <t>978-5-16-015951-5</t>
  </si>
  <si>
    <t>44.02.01, 44.02.02, 44.02.03, 44.02.04, 44.02.05, 44.02.06, 49.02.01, 49.02.02, 51.02.01, 53.02.01, 54.02.06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</si>
  <si>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44.02.01 «Дошкольное образование», 44.02.04 «Специальное дошкольное образование», 44.02.05 «Коррекционная педагогика в начальном образовании» (протокол № 8 от 22.06.2020)</t>
  </si>
  <si>
    <t>682866.09.01</t>
  </si>
  <si>
    <t>Игры и занятия с детьми раннего возр...: Уч.мет.пос. / Под ред.Стребелевой Е.А. - 3изд.-М.:ИНФРА-М,2025-160с(СПО)(п)</t>
  </si>
  <si>
    <t>ИГРЫ И ЗАНЯТИЯ С ДЕТЬМИ РАННЕГО ВОЗРАСТА С ПСИХОФИЗИЧЕСКИМИ НАРУШЕНИЯМИ, ИЗД.3</t>
  </si>
  <si>
    <t>Браткова М.В., Выродова И.А., Закрепина А.В. и др.</t>
  </si>
  <si>
    <t>978-5-16-013918-0</t>
  </si>
  <si>
    <t>682867.13.01</t>
  </si>
  <si>
    <t>Игры и игр. задания для детей раннего..: Практ.пос. / Стребелева Е.А. - 4 изд. - М.:НИЦ ИНФРА-М,2026 - 148 с.(О)</t>
  </si>
  <si>
    <t>ИГРЫ И ИГРОВЫЕ ЗАДАНИЯ ДЛЯ ДЕТЕЙ РАННЕГО ВОЗРАСТА С ОГРАНИЧЕННЫМИ ВОЗМОЖНОСТЯМИ ЗДОРОВЬЯ, ИЗД.4</t>
  </si>
  <si>
    <t>Стребелева Е.А., Закрепина А.В., Кинаш Е.А. и др.</t>
  </si>
  <si>
    <t>978-5-16-015808-2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</si>
  <si>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44.02.03 «Педагогика дополнительного образования», 44.02.04 «Специальное дошкольное образование», 44.02.05 «Коррекционная педагогика в начальном образовании» (протокол № 12 от 24.06.2019)</t>
  </si>
  <si>
    <t>Институт коррекционной педагогики</t>
  </si>
  <si>
    <t>0420</t>
  </si>
  <si>
    <t>682867.04.01</t>
  </si>
  <si>
    <t>Игры и игровые задания для детей раннего возраста..:Практ.пос./Стребелева Е.А.-М.:НИЦ ИНФРА-М,2020-109с(О)</t>
  </si>
  <si>
    <t>ИГРЫ И ИГРОВЫЕ ЗАДАНИЯ ДЛЯ ДЕТЕЙ РАННЕГО ВОЗРАСТА С ОГРАНИЧЕННЫМИ ВОЗМОЖНОСТЯМИ ЗДОРОВЬЯ</t>
  </si>
  <si>
    <t>978-5-16-014086-5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</si>
  <si>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 специальностям 44.02.02 «Преподавание в начальных классах», 44.02.03 «Педагогика дополнительного образования», 44.02.04 «Специальное дошкольное образование», 44.02.05 «Коррекционная педагогика в начальном образовании»</t>
  </si>
  <si>
    <t>732566.02.01</t>
  </si>
  <si>
    <t>Идентификация и обнаружение фальсификации прод. товаров: Уч./ М.А.Николаева-М.:НИЦ ИНФРА-М,2023.-461 с.(СПО)(П)</t>
  </si>
  <si>
    <t>ИДЕНТИФИКАЦИЯ И ОБНАРУЖЕНИЕ ФАЛЬСИФИКАЦИИ ПРОДОВОЛЬСТВЕННЫХ ТОВАРОВ</t>
  </si>
  <si>
    <t>Николаева М.А., Положишникова М.А.</t>
  </si>
  <si>
    <t>978-5-16-016019-1</t>
  </si>
  <si>
    <t>19.01.18, 19.01.19, 19.02.10, 19.02.13, 35.01.23, 38.02.08, 43.01.09, 43.02.15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</si>
  <si>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38.02.04 «Коммерция (по отраслям)», 38.02.05 «Товароведение и экспертиза качества потребительских товаров» (протокол № 15 от 14.10.2019)</t>
  </si>
  <si>
    <t>252200.15.01</t>
  </si>
  <si>
    <t>Изготовление санитарно-технических, вентиляц. систем..: Уч./К.С.Орлов - ИНФРА-М, 2026. - 270 с.(СПО)(п)</t>
  </si>
  <si>
    <t>ИЗГОТОВЛЕНИЕ САНИТАРНО-ТЕХНИЧЕСКИХ, ВЕНТИЛЯЦИОННЫХ СИСТЕМ И ТЕХНОЛОГИЧЕСКИХ ТРУБОПРОВОДОВ</t>
  </si>
  <si>
    <t>Орлов К. С.</t>
  </si>
  <si>
    <t>978-5-16-006006-4</t>
  </si>
  <si>
    <t>08.01.15, 08.01.27, 08.02.08, 08.02.13, 15.01.30, 15.02.10, 18.01.27, 19.01.01, 21.01.17, 23.02.06</t>
  </si>
  <si>
    <t>Рекомендовано в качестве учебника для учебных заведений, реализующих программу начального профессионального образования по профессии 08.01.15 «Слесарь по изготовлению деталей и узлов технических систем в строительстве»</t>
  </si>
  <si>
    <t>682869.06.01</t>
  </si>
  <si>
    <t>Индустрия гостеприимства. Практ.: Уч.мет.пос. / Н.Г.Можаева-2 изд.-М.:НИЦ ИНФРА-М,2024-113 с.(СПО)(о)</t>
  </si>
  <si>
    <t>ИНДУСТРИЯ ГОСТЕПРИИМСТВА, ИЗД.2</t>
  </si>
  <si>
    <t>Можаева Н.Г., Камшечко М.В.</t>
  </si>
  <si>
    <t>978-5-16-019338-0</t>
  </si>
  <si>
    <t>682868.03.01</t>
  </si>
  <si>
    <t>Индустрия гостеприимства...: Уч.пос. / А.Д.Чудновский - М.:ИД ФОРУМ,НИЦ ИНФРА-М, 2024 - 400с.(СПО)(П)</t>
  </si>
  <si>
    <t>ИНДУСТРИЯ ГОСТЕПРИИМСТВА: ОСНОВЫ ОРГАНИЗАЦИИ И УПРАВЛЕНИЯ</t>
  </si>
  <si>
    <t>Чудновский А.Д., Жукова М.А., Белозерова Ю.М. и др.</t>
  </si>
  <si>
    <t>978-5-8199-0787-0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</si>
  <si>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43.02.11 «Гостиничный сервис»</t>
  </si>
  <si>
    <t>682869.05.01</t>
  </si>
  <si>
    <t>Индустрия гостеприимства: Практикум / Н.Г.Можаева-М.:Форум, НИЦ ИНФРА-М,2023-120с(СПО)(О)</t>
  </si>
  <si>
    <t>ИНДУСТРИЯ ГОСТЕПРИИМСТВА</t>
  </si>
  <si>
    <t>978-5-00091-567-7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</si>
  <si>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43.02.11 «Гостиничный сервис» (протокол № 2 от 28.01.2019)</t>
  </si>
  <si>
    <t>757842.04.01</t>
  </si>
  <si>
    <t>Инженерная биотехнология...: Уч.пос. / А.В.Луканин - М.:НИЦ ИНФРА-М,2026 - 304 с.(П)</t>
  </si>
  <si>
    <t>ИНЖЕНЕРНАЯ БИОТЕХНОЛОГИЯ: ОСНОВЫ ТЕХНОЛОГИИ МИКРОБИОЛОГИЧЕСКИХ ПРОИЗВОДСТВ</t>
  </si>
  <si>
    <t>Луканин А.В.</t>
  </si>
  <si>
    <t>978-5-16-016928-6</t>
  </si>
  <si>
    <t>15.02.01, 18.01.34, 18.02.01, 18.02.15, 19.01.01, 19.02.15, 33.02.01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</si>
  <si>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19.00.00 «Промышленная экология и биотехнологии» (протокол № 11 от 09.11.2020)</t>
  </si>
  <si>
    <t>Российский университет дружбы народов имени Патриса Лумумбы</t>
  </si>
  <si>
    <t>682870.09.01</t>
  </si>
  <si>
    <t>Инженерная геодезия: Уч./ Г.А.Федотов - 6 изд. - М.:НИЦ ИНФРА-М,2025 - 479 с.(СПО)(П)</t>
  </si>
  <si>
    <t>ИНЖЕНЕРНАЯ ГЕОДЕЗИЯ, ИЗД.6</t>
  </si>
  <si>
    <t>Федотов Г.А.</t>
  </si>
  <si>
    <t>978-5-16-013920-3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</si>
  <si>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08.02.02 «Строительство и эксплуатация инженерных сооружений», 08.02.05 «Строительство и эксплуатация автомобильных дорог и аэродромов», 08.02.06 «Строительство и эксплуатация городских путей сообщения»</t>
  </si>
  <si>
    <t>Московский автомобильно-дорожный государственный технический университет</t>
  </si>
  <si>
    <t>0618</t>
  </si>
  <si>
    <t>736723.10.01</t>
  </si>
  <si>
    <t>Инженерная графика. Машиностроит. черчение: Уч. / А.А.Чекмарев - М.:НИЦ ИНФРА-М,2026 - 396 с.(СПО)(п)</t>
  </si>
  <si>
    <t>ИНЖЕНЕРНАЯ ГРАФИКА. МАШИНОСТРОИТЕЛЬНОЕ ЧЕРЧЕНИЕ</t>
  </si>
  <si>
    <t>Чекмарев А.А.</t>
  </si>
  <si>
    <t>978-5-16-016231-7</t>
  </si>
  <si>
    <t>12.01.09, 15.01.22, 15.02.03, 15.02.04, 15.02.06, 15.02.09, 15.02.16, 15.02.17, 15.02.18, 15.02.19, 23.02.07, 24.01.01, 24.02.01, 35.02.16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</si>
  <si>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машиностроительным специальностям (протокол № 6 от 06.04.2020)</t>
  </si>
  <si>
    <t>Национальный исследовательский университет "Высшая школа экономики"</t>
  </si>
  <si>
    <t>039010.19.01</t>
  </si>
  <si>
    <t>Инженерная графика: Раб. тетр.: Ч.1 / И.А.Исаев - 3 изд. - М.:Форум: НИЦ ИНФРА-М, 2026 - 81 с.(ПО)(О)</t>
  </si>
  <si>
    <t>ИНЖЕНЕРНАЯ ГРАФИКА, ИЗД.3</t>
  </si>
  <si>
    <t>Исаев И.А.</t>
  </si>
  <si>
    <t>978-5-00091-542-4</t>
  </si>
  <si>
    <t>Рабочая тетрадь к учебнику</t>
  </si>
  <si>
    <t>00.02.31, 08.02.01, 15.01.22, 15.02.04, 15.02.06, 15.02.09, 15.02.16, 23.02.02, 24.02.01, 24.02.02</t>
  </si>
  <si>
    <t>Допущено Министерством образования Российской Федерации в качестве учебного пособия для студентов учреждений среднего профессионального образования, обучающихся по специальностям технического профиля</t>
  </si>
  <si>
    <t>0315</t>
  </si>
  <si>
    <t>052720.16.01</t>
  </si>
  <si>
    <t>Инженерная графика: Раб. тетр.: Ч.2 / И.А.Исаев - 3 изд. - М.:Форум, НИЦ ИНФРА-М,2025.-58с.(СПО)(О)</t>
  </si>
  <si>
    <t>978-5-00091-477-9</t>
  </si>
  <si>
    <t>00.02.31, 08.02.01, 15.01.22, 15.02.10, 15.02.16, 23.02.02, 24.02.01, 24.02.02, 27.02.06</t>
  </si>
  <si>
    <t>0311</t>
  </si>
  <si>
    <t>702075.09.01</t>
  </si>
  <si>
    <t>Инженерная графика: Уч. / Г.В.Буланже и др. - М.:НИЦ ИНФРА-М,2026 - 381 с.-(СПО)(П)</t>
  </si>
  <si>
    <t>ИНЖЕНЕРНАЯ ГРАФИКА</t>
  </si>
  <si>
    <t>Буланже Г.В., Гончарова В.А., Гущин И.А. и др.</t>
  </si>
  <si>
    <t>978-5-16-014817-5</t>
  </si>
  <si>
    <t>00.02.31, 08.02.01, 09.02.01, 12.01.09, 12.02.09, 15.01.22, 15.02.16, 24.02.01, 24.02.02, 25.02.06, 26.02.02, 26.02.04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</si>
  <si>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техническим специальностям (протокол № 5 от 11.03.2019)</t>
  </si>
  <si>
    <t>712353.09.01</t>
  </si>
  <si>
    <t>Инженерная графика: Уч. / Г.В.Серга и др. - М.:НИЦ ИНФРА-М,2026. - 383 с.(СПО)(П)</t>
  </si>
  <si>
    <t>Серга Г.В., Табачук И.И., Кузнецова Н.Н.</t>
  </si>
  <si>
    <t>978-5-16-015545-6</t>
  </si>
  <si>
    <t>00.02.31, 08.02.01, 09.02.01, 15.01.22, 15.02.04, 15.02.10, 15.02.16, 23.02.02, 24.02.01, 24.02.02, 26.02.04, 27.02.06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</si>
  <si>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техническим специальностям (протокол № 12 от 24.06.2019)</t>
  </si>
  <si>
    <t>Кубанский государственный аграрный университет им. И.Т. Трубилина</t>
  </si>
  <si>
    <t>708219.05.01</t>
  </si>
  <si>
    <t>Инженерная графика: Уч. / Под ред. Раклова В.П., - 2 изд.,-М.:НИЦ ИНФРА-М,2024-305 с.(СПО)(П)</t>
  </si>
  <si>
    <t>ИНЖЕНЕРНАЯ ГРАФИКА, ИЗД.2</t>
  </si>
  <si>
    <t>Раклов В.П., Яковлева Т.Я., Раклов В.П.</t>
  </si>
  <si>
    <t>978-5-16-015343-8</t>
  </si>
  <si>
    <t>09.02.01, 21.02.19</t>
  </si>
  <si>
    <t>Допущено Министерством сельского хозяйства Российской Федерации в качестве учебника для студентов средних профессиональных учебных заведений по специальности 21.02.04 «Землеустройство»</t>
  </si>
  <si>
    <t>757843.06.01</t>
  </si>
  <si>
    <t>Инженерная экология...: Уч.пос. / А.В.Луканин - М.:НИЦ ИНФРА-М,2026 - 605 с.(П)</t>
  </si>
  <si>
    <t>ИНЖЕНЕРНАЯ ЭКОЛОГИЯ: ПРОЦЕССЫ И АППАРАТЫ ОЧИСТКИ СТОЧНЫХ ВОД И ПЕРЕРАБОТКИ ОСАДКОВ</t>
  </si>
  <si>
    <t>978-5-16-016929-3</t>
  </si>
  <si>
    <t>08.02.04, 14.02.01, 18.02.15, 20.02.01, 20.02.03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</si>
  <si>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19.02.01 «Биохимическое производство», 20.02.01 «Рациональное использование природохозяйственных комплексов», 20.02.03 «Природоохранное обустройство территорий» (протокол № 11 от 09.11.2020)</t>
  </si>
  <si>
    <t>763713.06.01</t>
  </si>
  <si>
    <t>Инклюзивное обуч. детей с огранич. возмож...: Уч.мет.пос. / Л.И.Плаксина - М.:НИЦ ИНФРА-М,2026 - 192 с.(СПО)(п)</t>
  </si>
  <si>
    <t>ИНКЛЮЗИВНОЕ ОБУЧЕНИЕ ДЕТЕЙ С ОГРАНИЧЕННЫМИ ВОЗМОЖНОСТЯМИ ЗДОРОВЬЯ ПСИХОЛОГО-ПЕДАГОГИЧЕСКОЕ СОПРОВОЖДЕНИЕ ДОШКОЛЬНИКОВ С НАРУШЕНИЯМИ ЗРЕНИЯ</t>
  </si>
  <si>
    <t>Плаксина Л.И., Дружинина Л.А., Осипова Л.Б.</t>
  </si>
  <si>
    <t>978-5-16-017120-3</t>
  </si>
  <si>
    <t>39.02.01, 44.02.01, 44.02.02, 44.02.03, 44.02.04, 44.02.05, 44.02.06, 49.02.01, 49.02.02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</si>
  <si>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педагогическим специальностям (протокол № 3 от 17.03.2021)</t>
  </si>
  <si>
    <t>818513.01.01</t>
  </si>
  <si>
    <t>Иностранный яз. в проф. деят. (англ.)...: Прак.: Уч.пос. / Н.А.Федосеева - М.:НИЦ ИНФРА-М,2026 - 267 с.(п)</t>
  </si>
  <si>
    <t>ИНОСТРАННЫЙ ЯЗЫК В ПРОФЕССИОНАЛЬНОЙ ДЕЯТЕЛЬНОСТИ (АНГЛИЙСКИЙ): ЭКСПЛУАТАЦИЯ БЕСПИЛОТНЫХ АВИАЦИОННЫХ СИСТЕМ. ПРАКТИКУМ</t>
  </si>
  <si>
    <t>Федосеева Н.А.</t>
  </si>
  <si>
    <t>978-5-16-020443-7</t>
  </si>
  <si>
    <t>25.02.01, 25.02.04, 25.02.06, 25.02.08</t>
  </si>
  <si>
    <t>Ульяновский авиационный колледж</t>
  </si>
  <si>
    <t>797184.07.01</t>
  </si>
  <si>
    <t>Интеллектуальные технологии в беспилот. сис.: Уч. / В.А.Гвоздева - 2 изд  - М.:НИЦ ИНФРА-М,2026 - 197 с. (п)</t>
  </si>
  <si>
    <t>ИНТЕЛЛЕКТУАЛЬНЫЕ ТЕХНОЛОГИИ В БЕСПИЛОТНЫХ СИСТЕМАХ, ИЗД.2</t>
  </si>
  <si>
    <t>978-5-16-018162-2</t>
  </si>
  <si>
    <t>09.02.01, 09.02.02, 09.02.05, 09.02.07, 10.02.03, 10.02.05, 15.02.10, 23.02.03, 23.02.05, 24.02.01, 24.02.03, 25.02.08, 35.01.01, 35.02.01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</si>
  <si>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техническим специальностям (протокол № 6 от 08.06.2022)</t>
  </si>
  <si>
    <t>682872.03.01</t>
  </si>
  <si>
    <t>Интеркультурная педагогика младшего возраста: Уч. / Е.Ю.Протасова - М.:Форум, НИЦ ИНФРА-М,2026 - 400 с.(П)</t>
  </si>
  <si>
    <t>ИНТЕРКУЛЬТУРНАЯ ПЕДАГОГИКА МЛАДШЕГО ВОЗРАСТА</t>
  </si>
  <si>
    <t>Протасова Е.Ю., Родина Н.М.</t>
  </si>
  <si>
    <t>978-5-00091-543-1</t>
  </si>
  <si>
    <t>44.02.01, 44.02.02, 44.02.03, 44.02.04, 44.02.05, 44.02.06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</si>
  <si>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</t>
  </si>
  <si>
    <t>708389.02.01</t>
  </si>
  <si>
    <t>Интернет-технологии: Уч.пос. / С.Р.Гуриков - 2 изд. - М.:НИЦ ИНФРА-М,2023 - 174 с.(СПО)(о)</t>
  </si>
  <si>
    <t>ИНТЕРНЕТ-ТЕХНОЛОГИИ, ИЗД.2</t>
  </si>
  <si>
    <t>978-5-16-017117-3</t>
  </si>
  <si>
    <t>Рекомендовано Межрегиональным учебно-методическим советом профессионального образования в качестве учебного пособия для студентов средних профессиональных учебных заведений, обучающихся по основным образовательным программам среднего профессионального образования (протокол № 8 от 20.10.2021)</t>
  </si>
  <si>
    <t>0222</t>
  </si>
  <si>
    <t>682873.04.01</t>
  </si>
  <si>
    <t>Инфекционные  и  паразит.забол.у детей: рук.: Уч.пос. / Д.И.Зелинская - М.:НИЦ ИНФРА-М,2024-352(СПО)(П)</t>
  </si>
  <si>
    <t>ИНФЕКЦИОННЫЕ  И  ПАРАЗИТАРНЫЕ ЗАБОЛЕВАНИЯ У ДЕТЕЙ: РУКОВОДСТВО</t>
  </si>
  <si>
    <t>Зелинская Д.И., Исполатовская Э.О., Кешишян Е.С. и др.</t>
  </si>
  <si>
    <t>978-5-16-013923-4</t>
  </si>
  <si>
    <t>31.02.01, 31.02.02, 31.02.05, 31.02.06, 32.02.01, 34.02.01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</si>
  <si>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31.02.01 «Лечебное дело», 31.02.02 «Акушерское дело», 32.02.01 «Медико-профилактическое дело», 34.02.01 «Сестринское дело»</t>
  </si>
  <si>
    <t>455050.10.01</t>
  </si>
  <si>
    <t>Информатика и информ.-коммуникац. технол. (ИКТ): Уч.пос. / Н.Г.Плотникова-М.:РИОР, ИНФРА-М,2024-124c.(п)</t>
  </si>
  <si>
    <t>ИНФОРМАТИКА И ИНФОРМАЦИОННО-КОММУНИКАЦИОННЫЕ ТЕХНОЛОГИИ (ИКТ)</t>
  </si>
  <si>
    <t>Плотникова Н.Г.</t>
  </si>
  <si>
    <t>978-5-369-01308-3</t>
  </si>
  <si>
    <t>00.02.03, 08.02.08, 09.02.05, 46.02.01, 46.02.02</t>
  </si>
  <si>
    <t>Рекомендовано федеральным государственным автономным учреждением «Федеральный институт развития образования» (ФГАУ «ФИРО») в качестве учебного пособия для использования в учебном процессе образовательных учреждений, реализующих программы СПО</t>
  </si>
  <si>
    <t>Новочеркасский машиностроительный колледж Ростовской области</t>
  </si>
  <si>
    <t>694877.07.01</t>
  </si>
  <si>
    <t>Информатика и информ.-коммуникац. технологии в...: Уч.пос. / В.Н.Шитов - М.:НИЦ ИНФРА-М,2026. - 247 с.(П)</t>
  </si>
  <si>
    <t>ИНФОРМАТИКА И ИНФОРМАЦИОННО-КОММУНИКАЦИОННЫЕ ТЕХНОЛОГИИ В ПРОФЕССИОНАЛЬНОЙ ДЕЯТЕЛЬНОСТИ</t>
  </si>
  <si>
    <t>Шитов В.Н.</t>
  </si>
  <si>
    <t>978-5-16-014647-8</t>
  </si>
  <si>
    <t>09.02.01, 09.02.02, 09.02.04, 09.02.05, 09.02.07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</si>
  <si>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профессиональную программу среднего профессионального образования (протокол № 5 от 19.05.2021)</t>
  </si>
  <si>
    <t>138800.20.01</t>
  </si>
  <si>
    <t>Информатика, автоматизир. информ. техн. и сис.: Уч. / В.А.Гвоздева - М.:ФОРУМ:ИНФРА-М,2026 - 542 с.(СПО)(п)</t>
  </si>
  <si>
    <t>ИНФОРМАТИКА, АВТОМАТИЗИРОВАННЫЕ ИНФОРМАЦИОННЫЕ ТЕХНОЛОГИИ И СИСТЕМЫ</t>
  </si>
  <si>
    <t>978-5-8199-0856-3</t>
  </si>
  <si>
    <t>00.02.03, 08.02.15, 09.01.03, 09.01.04, 09.02.01, 09.02.03, 09.02.06, 09.02.07, 11.02.06, 11.02.13, 12.02.07, 12.02.09, 12.02.10, 15.01.06, 15.02.03, 15.02.04, 15.02.07, 15.02.09, 18.02.15, 19.02.14, 19.02.15, 21.02.12, 24.02.02, 25.02.01, 25.02.02, 25.02.03, 25.02.04, 25.02.06, 25.02.07, 26.02.02, 26.02.03, 26.02.05, 26.02.06, 27.02.03, 09.02.10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</si>
  <si>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техническим специальностям</t>
  </si>
  <si>
    <t>775954.01.01</t>
  </si>
  <si>
    <t>Информатика. Практикум: Уч.пос. / С.Г.Канакова-М.:НИЦ ИНФРА-М,2023.-363 с..(СПО)(п)</t>
  </si>
  <si>
    <t>ИНФОРМАТИКА. ПРАКТИКУМ</t>
  </si>
  <si>
    <t>Канакова С.Г.</t>
  </si>
  <si>
    <t>978-5-16-017682-6</t>
  </si>
  <si>
    <t>09.02.05, 09.02.07</t>
  </si>
  <si>
    <t>Прокопьевский горнотехнический техникум им. В.П. Романова</t>
  </si>
  <si>
    <t>682875.04.01</t>
  </si>
  <si>
    <t>Информатика: Уч. / С.Р.Гуриков - 2 изд. - М.:НИЦ ИНФРА-М,2024 - 566 с.-(СПО)(П)</t>
  </si>
  <si>
    <t>ИНФОРМАТИКА, ИЗД.2</t>
  </si>
  <si>
    <t>978-5-16-016575-2</t>
  </si>
  <si>
    <t>00.02.03, 09.02.05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</si>
  <si>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 (протокол № 8 от 22.06.2020)</t>
  </si>
  <si>
    <t>085430.24.01</t>
  </si>
  <si>
    <t>Информационная безопас. компьютер. сис. и сетей: Уч.пос. / В.Ф.Шаньгин - М.:НИЦ ИНФРА-М,2026. - 416 с.(СПО)(п)</t>
  </si>
  <si>
    <t>ИНФОРМАЦИОННАЯ БЕЗОПАСНОСТЬ КОМПЬЮТЕРНЫХ СИСТЕМ И СЕТЕЙ</t>
  </si>
  <si>
    <t>Шаньгин В. Ф.</t>
  </si>
  <si>
    <t>978-5-16-021164-0</t>
  </si>
  <si>
    <t>09.01.03, 09.01.04, 09.02.01, 09.02.02, 09.02.03, 09.02.04, 09.02.05, 09.02.06, 09.02.07, 10.02.04, 10.02.05, 11.02.15, 11.02.18</t>
  </si>
  <si>
    <t>Рекомендовано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09.00.00 «Информатика и вычислительная техника»</t>
  </si>
  <si>
    <t>039080.21.01</t>
  </si>
  <si>
    <t>Информационная безопасность: Уч.пос. / Т.Л.Партыка - 5 изд. - М.:Форум, НИЦ ИНФРА-М,2025 - 432с(П)</t>
  </si>
  <si>
    <t>ИНФОРМАЦИОННАЯ БЕЗОПАСНОСТЬ, ИЗД.5</t>
  </si>
  <si>
    <t>Партыка Т. Л., Попов И. И.</t>
  </si>
  <si>
    <t>978-5-00091-473-1</t>
  </si>
  <si>
    <t>09.02.01, 09.02.02, 09.02.03, 09.02.04, 09.02.05, 10.02.01, 10.02.02, 10.02.03, 10.02.04, 10.02.05, 11.02.18</t>
  </si>
  <si>
    <t>Допущено Министерством образования РФ в качестве учебного пособия для студентов учреждений среднего профессионального образования, обучающихся по специальностям информатики и вычислительной техники</t>
  </si>
  <si>
    <t>0512</t>
  </si>
  <si>
    <t>742205.06.01</t>
  </si>
  <si>
    <t>Информационно-коммуникац.технологии в спец.образ.: Уч. / И.А.Никольская - 2 изд. - М.:НИЦ ИНФРА-М,2026. - 232 с.(П)</t>
  </si>
  <si>
    <t>ИНФОРМАЦИОННО-КОММУНИКАЦИОННЫЕ ТЕХНОЛОГИИ В СПЕЦИАЛЬНОМ ОБРАЗОВАНИИ, ИЗД.2</t>
  </si>
  <si>
    <t>Никольская И.А.</t>
  </si>
  <si>
    <t>978-5-16-016425-0</t>
  </si>
  <si>
    <t>44.02.01, 44.02.02, 44.02.03, 44.02.04, 44.02.05, 49.02.01, 49.02.02, 53.02.01, 54.02.06</t>
  </si>
  <si>
    <t>Рекомендовано Межрегиональным учебно-методическим советом профессионального образования в качестве учебника для студентов учреждений среднего профессионального образования, обучающихся по специальности  44.02.05 «Коррекционная педагогика в начальном образовании» (протокол № 7 от 08.06.2020)</t>
  </si>
  <si>
    <t>682889.05.01</t>
  </si>
  <si>
    <t>Информационно-экскурс. деят. на предпр. туризма: Уч. / Под ред. Богданова Е.И. - М.:НИЦ ИНФРА-М,2026 -383с(П)</t>
  </si>
  <si>
    <t>ИНФОРМАЦИОННО-ЭКСКУРСИОННАЯ ДЕЯТЕЛЬНОСТЬ НА ПРЕДПРИЯТИЯХ ТУРИЗМА</t>
  </si>
  <si>
    <t>Баранов А.С., Бисько И.А., Богданов Е.И.</t>
  </si>
  <si>
    <t>978-5-16-013931-9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</si>
  <si>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специальности 43.02.10 «Туризм»</t>
  </si>
  <si>
    <t>684810.11.01</t>
  </si>
  <si>
    <t>Информационные сис. и технологии: Уч.пос. / О.Л.Голицына. - М.:Форум, НИЦ ИНФРА-М,2026. - 400 с.(СПО)(П)</t>
  </si>
  <si>
    <t>ИНФОРМАЦИОННЫЕ СИСТЕМЫ И ТЕХНОЛОГИИ</t>
  </si>
  <si>
    <t>978-5-00091-592-9</t>
  </si>
  <si>
    <t>09.02.03, 09.02.04, 09.02.05, 09.02.07, 18.02.07, 27.02.06, 55.02.01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</si>
  <si>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09.02.03 «Программирование в компьютерных системах», 09.02.04 «Информационные системы (по отраслям)», 09.02.05 «Прикладная информатика (по отраслям)»</t>
  </si>
  <si>
    <t>719927.02.01</t>
  </si>
  <si>
    <t>Информационные сис. упр. качеством в автоматизир...: Уч.пос./Галиновский А.Л.-М.:НИЦ ИНФРА-М,2023-284с(СПО)(П)</t>
  </si>
  <si>
    <t>ИНФОРМАЦИОННЫЕ СИСТЕМЫ УПРАВЛЕНИЯ КАЧЕСТВОМ В АВТОМАТИЗИРОВАННЫХ И АВТОМАТИЧЕСКИХ ПРОИЗВОДСТВАХ</t>
  </si>
  <si>
    <t>Галиновский А.Л., Бочкарев С.В., Кравченко И.Н. и др.</t>
  </si>
  <si>
    <t>978-5-16-015662-0</t>
  </si>
  <si>
    <t>08.02.09, 13.02.13, 15.02.03, 15.02.07, 15.02.16, 15.02.17, 15.02.18, 35.01.05, 35.01.06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</si>
  <si>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техническим специальностям (протокол № 12 от 24.06.2019)</t>
  </si>
  <si>
    <t>Московский государственный технический университет им. Н.Э. Баумана Национальный исследовательский университет</t>
  </si>
  <si>
    <t>726004.06.01</t>
  </si>
  <si>
    <t>Информационные системы и програм...: Уч. / М.С.Логачев-М.:НИЦ ИНФРА-М,2024-576с.(СПО)(П)</t>
  </si>
  <si>
    <t>ИНФОРМАЦИОННЫЕ СИСТЕМЫ И ПРОГРАММИРОВАНИЕ. СПЕЦИАЛИСТ ПО ИНФОРМАЦИОННЫМ СИСТЕМАМ. ВЫПУСКНАЯ КВАЛИФИКАЦИОННАЯ РАБОТА</t>
  </si>
  <si>
    <t>Логачев М.С.</t>
  </si>
  <si>
    <t>978-5-16-015919-5</t>
  </si>
  <si>
    <t>09.02.07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</si>
  <si>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09.02.07 «Информационные системы и программирование» (протокол № 17 от 11.11.2019)</t>
  </si>
  <si>
    <t>701990.05.01</t>
  </si>
  <si>
    <t>Информационные системы и программирование...: Уч. / М.С.Логачев - М.:НИЦ ИНФРА-М,2024 - 439 с.(П)</t>
  </si>
  <si>
    <t>ИНФОРМАЦИОННЫЕ СИСТЕМЫ И ПРОГРАММИРОВАНИЕ. АДМИНИСТРАТОР БАЗ ДАННЫХ. ВЫПУСКНАЯ КВАЛИФИКАЦИОННАЯ РАБОТА</t>
  </si>
  <si>
    <t>978-5-16-014985-1</t>
  </si>
  <si>
    <t>09.01.03, 09.02.01, 09.02.07, 10.02.01, 10.02.03, 11.02.12, 51.02.03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</si>
  <si>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09.02.07 «Информационные системы и программирование» (протокол № 16 от 28.10.2019)</t>
  </si>
  <si>
    <t>713030.03.01</t>
  </si>
  <si>
    <t>Информационные системы и программирование...: Уч. / М.С.Логачев - М.:НИЦ ИНФРА-М,2024. - 551 с(П)</t>
  </si>
  <si>
    <t>ИНФОРМАЦИОННЫЕ СИСТЕМЫ И ПРОГРАММИРОВАНИЕ. ТЕХНИЧЕСКИЙ ПИСАТЕЛЬ. ВЫПУСКНАЯ КВАЛИФИКАЦИОННАЯ РАБОТА</t>
  </si>
  <si>
    <t>Логачев М.С., Семенова О.В.</t>
  </si>
  <si>
    <t>978-5-16-015544-9</t>
  </si>
  <si>
    <t>09.02.03, 09.02.04, 09.02.05, 09.02.07</t>
  </si>
  <si>
    <t>700479.02.01</t>
  </si>
  <si>
    <t>Информационные системы предпр.: Уч.пос. / А.О.Варфоломеева- 2 изд.-М.:НИЦ ИНФРА-М,2023-330с(СПО)(П)</t>
  </si>
  <si>
    <t>ИНФОРМАЦИОННЫЕ СИСТЕМЫ ПРЕДПРИЯТИЯ, ИЗД.2</t>
  </si>
  <si>
    <t>Варфоломеева А.О., Коряковский А.В., Романов В.П.</t>
  </si>
  <si>
    <t>978-5-16-014729-1</t>
  </si>
  <si>
    <t>08.02.08, 09.01.03, 09.02.01, 09.02.02, 09.02.03, 09.02.04, 09.02.05, 10.02.01, 10.02.02, 10.02.03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</si>
  <si>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09.02.04 «Информационные системы (по отраслям)», 09.02.05 «Прикладная информатика (по отраслям)»</t>
  </si>
  <si>
    <t>684812.01.01</t>
  </si>
  <si>
    <t>Информационные системы: Уч.пос. / О.Л.Голицына и др. - 2 изд.-М.:Форум, НИЦ ИНФРА-М,2025-445 с.-(СПО)(п)</t>
  </si>
  <si>
    <t>ИНФОРМАЦИОННЫЕ СИСТЕМЫ, ИЗД.2</t>
  </si>
  <si>
    <t>978-5-00091-594-3</t>
  </si>
  <si>
    <t>08.02.01, 09.02.05, 09.02.10</t>
  </si>
  <si>
    <t>798042.01.01</t>
  </si>
  <si>
    <t>Информационные технологии в проф. деят...: Уч.пос. / Д.М.Назаров-М.:НИЦ ИНФРА-М,2025.-326 с.(СПО)(п)</t>
  </si>
  <si>
    <t>ИНФОРМАЦИОННЫЕ ТЕХНОЛОГИИ В ПРОФЕССИОНАЛЬНОЙ ДЕЯТЕЛЬНОСТИ: ИНТЕЛЛЕКТУАЛЬНЫЙ АНАЛИЗ ДАННЫХ И БИЗНЕС-АНАЛИТИКА</t>
  </si>
  <si>
    <t>Назаров Д.М., Копнин А.А.</t>
  </si>
  <si>
    <t>978-5-16-019356-4</t>
  </si>
  <si>
    <t>00.02.03, 09.02.05, 09.02.07, 09.02.08</t>
  </si>
  <si>
    <t>Уральский государственный экономический университет</t>
  </si>
  <si>
    <t>089200.19.01</t>
  </si>
  <si>
    <t>Информационные технологии в проф. деят.: Уч. пос. /Е.Л. Федотова - ФОРУМ:ИНФРА-М, 2025 - 367 с.(СПО) (п)</t>
  </si>
  <si>
    <t>ИНФОРМАЦИОННЫЕ ТЕХНОЛОГИИ В ПРОФЕССИОНАЛЬНОЙ ДЕЯТЕЛЬНОСТИ</t>
  </si>
  <si>
    <t>Федотова Е.Л.</t>
  </si>
  <si>
    <t>978-5-8199-0752-8</t>
  </si>
  <si>
    <t>00.02.03, 09.01.05, 09.02.01, 09.02.02, 09.02.03, 09.02.04, 09.02.05, 09.02.06, 09.02.07, 09.02.08, 09.02.09, 13.02.05, 21.02.12, 40.02.04, 46.02.01, 46.02.02, 09.02.10</t>
  </si>
  <si>
    <t>731817.01.01</t>
  </si>
  <si>
    <t>Информационные технологии в проф. деят.: Уч.пос. / О.В.Исаченко - М.:НИЦ ИНФРА-М,2025. - 186 с.(СПО)(п)</t>
  </si>
  <si>
    <t>978-5-16-016505-9</t>
  </si>
  <si>
    <t>704239.06.01</t>
  </si>
  <si>
    <t>Информационные технологии в проф. деят.: Уч.пос. / С.В.Синаторов, - М.:НИЦ ИНФРА-М,2026 - 277 с.(СПО)(П)</t>
  </si>
  <si>
    <t>Синаторов С.В., Пикулик О.В., АВАНГАРД-БУКС О.</t>
  </si>
  <si>
    <t>978-5-16-016278-2</t>
  </si>
  <si>
    <t>09.02.01, 09.02.03, 09.02.06, 09.02.07, 23.02.07, 44.02.01, 44.02.02, 44.02.03, 44.02.04, 44.02.05, 44.02.06, 54.02.03, 54.02.06, 54.02.07, 54.02.08, 09.02.10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</si>
  <si>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педагогическим специальностям  (протокол № 6 от 16.06.2021)</t>
  </si>
  <si>
    <t>Саратовский областной институт развития образования</t>
  </si>
  <si>
    <t>849926.01.01</t>
  </si>
  <si>
    <t>Информационные технологии в юриспруденции: Уч. / С.Е.Чаннов - М.:Юр. НОРМА, НИЦ ИНФРА-М,2025. - 436 с.(СПО)(п)</t>
  </si>
  <si>
    <t>ИНФОРМАЦИОННЫЕ ТЕХНОЛОГИИ В ЮРИСПРУДЕНЦИИ</t>
  </si>
  <si>
    <t>Чаннов С.Е., Архангельская Е.В., Блинкова О.В. и др.</t>
  </si>
  <si>
    <t>978-5-00156-415-7</t>
  </si>
  <si>
    <t>719228.03.01</t>
  </si>
  <si>
    <t>Информационные технологии и сис.: Уч.пос. / Е.Л.Федотова-М.:ИД ФОРУМ, НИЦ ИНФРА-М,2023.-352 с.(СПО)(П)</t>
  </si>
  <si>
    <t>ИНФОРМАЦИОННЫЕ ТЕХНОЛОГИИ И СИСТЕМЫ</t>
  </si>
  <si>
    <t>Федотова Е. Л.</t>
  </si>
  <si>
    <t>978-5-8199-0899-0</t>
  </si>
  <si>
    <t>09.02.01, 09.02.02, 09.02.03, 09.02.04, 09.02.05, 09.02.06, 09.02.07, 09.02.08, 09.02.09, 38.02.01, 38.02.02, 38.02.03, 38.02.06, 38.02.07, 38.02.08, 09.02.10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</si>
  <si>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09.02.00 «Информатика и вычислительная техника», 38.02.00 «Экономика и управление» (протокол № 11 от 10.06.2019)</t>
  </si>
  <si>
    <t>731824.01.01</t>
  </si>
  <si>
    <t>Информационные технологии и системы: Уч. / О.В.Исаченко - М.:НИЦ ИНФРА-М,2025. - 234 с.(СПО)(п)</t>
  </si>
  <si>
    <t>978-5-16-016507-3</t>
  </si>
  <si>
    <t>00.02.03</t>
  </si>
  <si>
    <t>719227.01.01</t>
  </si>
  <si>
    <t>Информационные технологии: разраб. информ. моделей и систем: Уч.пос./ А.В.Затонский-М.:ИЦ РИОР, НИЦ ИНФРА-М,2020-344с.(П)</t>
  </si>
  <si>
    <t>ИНФОРМАЦИОННЫЕ ТЕХНОЛОГИИ: РАЗРАБОТКА ИНФОРМАЦИОННЫХ МОДЕЛЕЙ И СИСТЕМ</t>
  </si>
  <si>
    <t>Затонский А. В.</t>
  </si>
  <si>
    <t>978-5-369-01823-1</t>
  </si>
  <si>
    <t>00.02.03, 09.01.03, 09.01.04, 09.01.05, 09.02.01, 09.02.02, 09.02.03, 09.02.04, 09.02.05, 09.02.06, 09.02.07, 09.02.08, 09.02.09, 09.02.10</t>
  </si>
  <si>
    <t>Пермский национальный исследовательский политехнический университет, Березниковский ф-л</t>
  </si>
  <si>
    <t>819029.01.01</t>
  </si>
  <si>
    <t>Информационные технологии: Уч.пос. / Т.И.Челядинова - М.:НИЦ ИНФРА-М,2025. - 293 с.(СПО)(п)</t>
  </si>
  <si>
    <t>ИНФОРМАЦИОННЫЕ ТЕХНОЛОГИИ</t>
  </si>
  <si>
    <t>Челядинова Т.И.</t>
  </si>
  <si>
    <t>978-5-16-019646-6</t>
  </si>
  <si>
    <t>Липецкий металлургический колледж</t>
  </si>
  <si>
    <t>700952.02.01</t>
  </si>
  <si>
    <t>Искусство гостеприимства: Уч.пос. / В.Н.Шитов - М.:НИЦ ИНФРА-М,2023 - 227 с.(СПО)(П)</t>
  </si>
  <si>
    <t>ИСКУССТВО ГОСТЕПРИИМСТВА</t>
  </si>
  <si>
    <t>978-5-16-015080-2</t>
  </si>
  <si>
    <t>08.02.14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</si>
  <si>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43.02.08 «Сервис домашнего и коммунального хозяйства» (протокол № 5 от 19.05.2021)</t>
  </si>
  <si>
    <t>682937.03.01</t>
  </si>
  <si>
    <t>Испытания автомобильной электроники: Уч. / В.А.Набоких - М.:НИЦ ИНФРА-М,2025 - 296 с.-(СПО)(П)</t>
  </si>
  <si>
    <t>ИСПЫТАНИЯ АВТОМОБИЛЬНОЙ ЭЛЕКТРОНИКИ</t>
  </si>
  <si>
    <t>978-5-16-013942-5</t>
  </si>
  <si>
    <t>23.01.03, 23.01.17, 23.02.02, 23.02.03, 23.02.04, 23.02.05, 23.02.07</t>
  </si>
  <si>
    <t>682938.05.01</t>
  </si>
  <si>
    <t>Испытания автомобиля: Уч.пос. / В.А.Набоких - 2 изд. - М.:Форум, НИЦ ИНФРА-М,2025 - 224 с.(СПО)(П)</t>
  </si>
  <si>
    <t>ИСПЫТАНИЯ АВТОМОБИЛЯ, ИЗД.2</t>
  </si>
  <si>
    <t>978-5-00091-547-9</t>
  </si>
  <si>
    <t>23.01.03, 23.01.17, 23.02.02, 23.02.03, 23.02.07, 35.01.01</t>
  </si>
  <si>
    <t>058400.19.01</t>
  </si>
  <si>
    <t>История архитектуры: Уч.пос. / Н.В.Бирюкова - М.:НИЦ ИНФРА-М,2026 - 367 с.(СПО)(П)</t>
  </si>
  <si>
    <t>ИСТОРИЯ АРХИТЕКТУРЫ</t>
  </si>
  <si>
    <t>Бирюкова Н. В.</t>
  </si>
  <si>
    <t>978-5-16-006329-4</t>
  </si>
  <si>
    <t>07.02.01, 42.02.01, 43.02.02, 43.02.17, 52.02.03, 52.02.04, 52.02.05, 54.01.20, 54.02.01, 54.02.04, 54.02.06, 54.02.08</t>
  </si>
  <si>
    <t>Допущено Государственным комитетом Российской Федерации по строительству и жилищно-коммунальному комплексу в качестве учебного пособия для студентов средних специальных учебных заведений, обучающихся по специальности «Архитектура» (07.02.01)</t>
  </si>
  <si>
    <t>Пензенский колледж архитектуры и строительства</t>
  </si>
  <si>
    <t>741933.04.01</t>
  </si>
  <si>
    <t>История интерьера и мебели: Уч.пос. / А.А.Барташевич - М.:НИЦ ИНФРА-М,2026 - 231 с.-(СПО)(П)</t>
  </si>
  <si>
    <t>ИСТОРИЯ ИНТЕРЬЕРА И МЕБЕЛИ</t>
  </si>
  <si>
    <t>Барташевич А.А.</t>
  </si>
  <si>
    <t>978-5-16-016803-6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</si>
  <si>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35.02.03 «Технология деревообработки», 54.02.01 «Дизайн (по отраслям)» (протокол № 10 от 12.10.2020)</t>
  </si>
  <si>
    <t>Белорусский государственный технологический университет</t>
  </si>
  <si>
    <t>741149.04.01</t>
  </si>
  <si>
    <t>История искусств: Уч.пос. / А.У.Самогаева - М.:НИЦ ИНФРА-М,2026. - 217 с.(СПО)(п)</t>
  </si>
  <si>
    <t>ИСТОРИЯ ИСКУССТВ</t>
  </si>
  <si>
    <t>Самогаева А.У.</t>
  </si>
  <si>
    <t>978-5-16-016566-0</t>
  </si>
  <si>
    <t>29.01.04, 29.01.09, 42.02.01, 43.02.02, 51.02.03, 52.02.03, 52.02.04, 52.02.05, 54.01.02, 54.01.05, 54.01.06, 54.01.13, 54.02.01, 54.02.02, 54.02.04, 54.02.06, 54.02.07, 54.02.08, 55.02.03</t>
  </si>
  <si>
    <t>682939.07.01</t>
  </si>
  <si>
    <t>История культуры: от Возрождения до модерна: Уч.пос. / Н.С.Креленко - М.:НИЦ ИНФРА-М,2026. - 320 с.(СПО)(П)</t>
  </si>
  <si>
    <t>ИСТОРИЯ КУЛЬТУРЫ: ОТ ВОЗРОЖДЕНИЯ ДО МОДЕРНА</t>
  </si>
  <si>
    <t>Креленко Н.С.</t>
  </si>
  <si>
    <t>978-5-16-013944-9</t>
  </si>
  <si>
    <t>29.01.04, 29.01.09, 42.02.01, 43.02.02, 43.02.17, 51.02.03, 52.02.01, 52.02.02, 52.02.03, 52.02.04, 52.02.05, 53.02.01, 53.02.02, 53.02.03, 53.02.04, 53.02.05, 53.02.06, 53.02.07, 53.02.08, 53.02.09, 54.01.01, 54.01.02, 54.01.05, 54.01.06, 54.01.08, 54.01.09, 54.01.12, 54.01.13, 54.01.14, 54.01.15, 54.01.16, 54.01.17, 54.01.18, 54.01.19, 54.01.20, 54.02.01, 54.02.02, 54.02.03, 54.02.04, 54.02.05, 54.02.06, 54.02.07, 54.02.08, 55.02.03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</si>
  <si>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гуманитарным специальностям</t>
  </si>
  <si>
    <t>682940.02.01</t>
  </si>
  <si>
    <t>История мировых цивилизаций: Уч.пос./ Под ред. Драч Г.В.-М.:ИЦ РИОР, НИЦ ИНФРА-М,2023-320 с.(СПО)(П)</t>
  </si>
  <si>
    <t>ИСТОРИЯ МИРОВЫХ ЦИВИЛИЗАЦИЙ</t>
  </si>
  <si>
    <t>Драч Г.В.</t>
  </si>
  <si>
    <t>978-5-369-01769-2</t>
  </si>
  <si>
    <t>51.00.00, 00.01.03, 00.02.04, 51.02.02</t>
  </si>
  <si>
    <t>Южный федеральный университет</t>
  </si>
  <si>
    <t>645331.04.01</t>
  </si>
  <si>
    <t>История отечественного гос. и права в схемах: Уч.пос. / Д.А.Пашенцев - М.:НИЦ ИНФРА-М,2026 - 143 с.(СПО)(о)</t>
  </si>
  <si>
    <t>ИСТОРИЯ ОТЕЧЕСТВЕННОГО ГОСУДАРСТВА И ПРАВА В СХЕМАХ</t>
  </si>
  <si>
    <t>Пашенцев Д.А.</t>
  </si>
  <si>
    <t>978-5-16-012434-6</t>
  </si>
  <si>
    <t>40.02.04</t>
  </si>
  <si>
    <t>Рекомендовано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40.00.00 «Юриспруденция»</t>
  </si>
  <si>
    <t>682941.01.01</t>
  </si>
  <si>
    <t>История отечественного гос. и права: Уч.пос. / Д.А.Пашенцев-М.:НИЦ ИНФРА-М,2021.-429 с.(СПО)(П)</t>
  </si>
  <si>
    <t>ИСТОРИЯ ОТЕЧЕСТВЕННОГО ГОСУДАРСТВА И ПРАВА</t>
  </si>
  <si>
    <t>Пашенцев Д.А., Чернявский А.Г.</t>
  </si>
  <si>
    <t>978-5-16-013945-6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</si>
  <si>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юридическим специальностям (протокол № 8 от 22.06.2020)</t>
  </si>
  <si>
    <t>682942.03.01</t>
  </si>
  <si>
    <t>История полит. и правовых учений: Уч.пос. / О.А.Сухорукова-М.:ИД Форум, НИЦ ИНФРА-М,2023-128 с.(О)</t>
  </si>
  <si>
    <t>ИСТОРИЯ ПОЛИТИЧЕСКИХ И ПРАВОВЫХ УЧЕНИЙ ДРЕВНЕГО МИРА, СРЕДНЕВЕКОВЬЯ, ВОЗРОЖДЕНИЯ И НОВОГО ВРЕМЕНИ</t>
  </si>
  <si>
    <t>Сухорукова О.А.</t>
  </si>
  <si>
    <t>978-5-8199-0854-9</t>
  </si>
  <si>
    <t>Московский государственный психолого-педагогический университет</t>
  </si>
  <si>
    <t>141900.11.01</t>
  </si>
  <si>
    <t>История религий: Уч. пос. / Е.Б. Ерина. - М.: ИЦ РИОР:  ИНФРА-М, 2025. - 175 с.(ПО) (п)</t>
  </si>
  <si>
    <t>ИСТОРИЯ РЕЛИГИЙ</t>
  </si>
  <si>
    <t>Е.Б. Ерина</t>
  </si>
  <si>
    <t>978-5-369-00570-5</t>
  </si>
  <si>
    <t>Религия. Теология</t>
  </si>
  <si>
    <t>00.01.03, 00.02.04, 44.02.01, 44.02.03, 44.02.05</t>
  </si>
  <si>
    <t>Рекомендовано Федеральным государственным учреждением "Федеральный институт развития образования" в кач-ве учеб. пос. для использов. в учеб. проц. образоват. учреждений, реал. прогр. сред. проф. образов. по специальности 050401 "История"</t>
  </si>
  <si>
    <t>Государственный морской университет им. адмирала Ф.Ф. Ушакова</t>
  </si>
  <si>
    <t>682943.03.01</t>
  </si>
  <si>
    <t>История российского туризма (IX-XX вв.): Уч.пос. / А.А.Иванов - М.:Форум, НИЦ ИНФРА-М,2025 - 320 с.(СПО)(П)</t>
  </si>
  <si>
    <t>ИСТОРИЯ РОССИЙСКОГО ТУРИЗМА (IX-XX ВВ.)</t>
  </si>
  <si>
    <t>978-5-00091-548-6</t>
  </si>
  <si>
    <t>История. Исторические науки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</si>
  <si>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43.02.10 «Туризм», 43.02.11 «Гостиничный сервис» (протокол № 10 от 27.05.2019)</t>
  </si>
  <si>
    <t>Санкт-Петербургский Государственный Университет Ветеринарной Медицины</t>
  </si>
  <si>
    <t>682944.09.01</t>
  </si>
  <si>
    <t>История рус. культуры IX-нач.XXIв.: Уч.пос. / Под ред.Кошмана Л.В - 5 изд. - М.:НИЦ ИНФРА-М,2026 - 432 с.(СПО)</t>
  </si>
  <si>
    <t>ИСТОРИЯ РУССКОЙ КУЛЬТУРЫ IX - НАЧАЛА XXI ВЕКА, ИЗД.5</t>
  </si>
  <si>
    <t>Кошман Л.В., Сысоева Е.К., Зезина М.Р. и др.</t>
  </si>
  <si>
    <t>978-5-16-013948-7</t>
  </si>
  <si>
    <t>35.01.28, 42.02.01, 43.02.02, 44.02.01, 44.02.02, 44.02.03, 44.02.05, 44.02.06, 50.02.01, 51.02.01, 51.02.02, 51.02.03, 52.02.03, 52.02.04, 52.02.05, 54.02.01, 54.02.06, 54.02.08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</si>
  <si>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44.02.01 «Дошкольное образование», 44.02.02 «Преподавание в начальных классах», 44.02.03 «Педагогика дополнительного образования», 44.02.06 «Профессиональное обучение (по отраслям)», 50.02.01 «Мировая художественная культура», 51.02.01 «Народное художественное творчество (по видам)», 51.02.02 «Социально-культурная деятельность (по видам)», 51.02.03 «Библиотековедение»</t>
  </si>
  <si>
    <t>0518</t>
  </si>
  <si>
    <t>682945.05.01</t>
  </si>
  <si>
    <t>История русской материальной культуры: Уч.пос. / Л.В.Беловинский, - 2 изд. - М.:НИЦ ИНФРА-М,2026. - 512 с.(п)</t>
  </si>
  <si>
    <t>ИСТОРИЯ РУССКОЙ МАТЕРИАЛЬНОЙ КУЛЬТУРЫ, ИЗД.2</t>
  </si>
  <si>
    <t>Беловинский Л.В.</t>
  </si>
  <si>
    <t>978-5-16-021431-3</t>
  </si>
  <si>
    <t>42.02.01, 43.02.02, 44.02.02, 44.02.03, 44.02.05, 44.02.06, 50.02.01, 51.02.01, 51.02.02, 51.02.03, 52.02.03, 52.02.04, 52.02.05, 54.02.01, 54.02.06, 54.02.08</t>
  </si>
  <si>
    <t>Учебное пособие для студентов высших учебных заведений, обучающихся по направлению подготовки «Музеология и охрана объектов культурного и природного наследия»</t>
  </si>
  <si>
    <t>Московский государственный институт культуры</t>
  </si>
  <si>
    <t>682946.04.01</t>
  </si>
  <si>
    <t>История сервиса: Уч.пос. / В.Э.Багдасарян и др. - 2 изд. - М.:НИЦ ИНФРА-М,2023 - 337 с.-(СПО</t>
  </si>
  <si>
    <t>ИСТОРИЯ СЕРВИСА, ИЗД.2</t>
  </si>
  <si>
    <t>Багдасарян В.Э., Орлов И.Б., Катагощина М.В. и др.</t>
  </si>
  <si>
    <t>978-5-16-013950-0</t>
  </si>
  <si>
    <t>08.02.14, 43.01.11, 43.02.01, 43.02.02, 43.02.04, 43.02.06, 43.02.07, 43.02.09, 43.02.11, 43.02.16, 43.02.17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</si>
  <si>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43.02.06 «Сервис на транспорте (по видам транспорта)», 43.02.08 «Сервис домашнего и коммунального хозяйства», 43.02.09 «Ритуальный сервис», 43.02.10 «Туризм», 43.02.11 «Гостиничный сервис»</t>
  </si>
  <si>
    <t>Государственный Университет Просвещения</t>
  </si>
  <si>
    <t>842050.01.01</t>
  </si>
  <si>
    <t>История социальной работы: Уч.пос. / В.Д.Ширшов - М.:НИЦ ИНФРА-М,2025. - 269 с.(СПО)(п)</t>
  </si>
  <si>
    <t>ИСТОРИЯ СОЦИАЛЬНОЙ РАБОТЫ</t>
  </si>
  <si>
    <t>Ширшов В.Д.</t>
  </si>
  <si>
    <t>978-5-16-020304-1</t>
  </si>
  <si>
    <t>Политика. Социология</t>
  </si>
  <si>
    <t>39.02.01</t>
  </si>
  <si>
    <t>Уральский государственный педагогический университет</t>
  </si>
  <si>
    <t>682948.03.01</t>
  </si>
  <si>
    <t>История торговли: Уч.пос. / Л.В.Орленко - М.:НИЦ ИНФРА-М,2024 - 351 с.-(СПО)(П)</t>
  </si>
  <si>
    <t>ИСТОРИЯ ТОРГОВЛИ</t>
  </si>
  <si>
    <t>978-5-16-016900-2</t>
  </si>
  <si>
    <t>38.01.02, 38.02.08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</si>
  <si>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38.02.04 «Коммерция (по отраслям)», 38.02.05 «Товароведение и экспертиза качества потребительских товаров» (протокол № 11 от 09.11.2020)</t>
  </si>
  <si>
    <t>682949.03.01</t>
  </si>
  <si>
    <t>История туризма: Уч.пос. / В.Э.Багдасарян и др. - М.:НИЦ ИНФРА-М,2023 - 190 с.(СПО)(П)</t>
  </si>
  <si>
    <t>ИСТОРИЯ ТУРИЗМА</t>
  </si>
  <si>
    <t>Багдасарян В.Э., Орлов И.Б., Попов А.Д.</t>
  </si>
  <si>
    <t>978-5-16-013952-4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</si>
  <si>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43.02.10 «Туризм»</t>
  </si>
  <si>
    <t>724890.04.01</t>
  </si>
  <si>
    <t>История: Уч. / А.Б.Оришев - М.:ИЦ РИОР, НИЦ ИНФРА-М,2024. - 276 с.(CПО)(п)</t>
  </si>
  <si>
    <t>ИСТОРИЯ</t>
  </si>
  <si>
    <t>Оришев А.Б., Тарасенко В.Н.</t>
  </si>
  <si>
    <t>978-5-369-01833-0</t>
  </si>
  <si>
    <t>00.01.03, 00.02.04, 13.02.05</t>
  </si>
  <si>
    <t>162600.22.01</t>
  </si>
  <si>
    <t>История: Уч.пос. / В.В.Касьянов - 2 изд. - М.:НИЦ ИНФРА-М,2025. - 550 с.(СПО)(П)</t>
  </si>
  <si>
    <t>ИСТОРИЯ, ИЗД.2</t>
  </si>
  <si>
    <t>Касьянов В.В., Самыгин П.С., Самыгин С.И. и др.</t>
  </si>
  <si>
    <t>978-5-16-016200-3</t>
  </si>
  <si>
    <t>00.01.03, 00.02.04, 07.02.01, 09.01.03, 13.02.05, 20.02.05, 21.02.09, 24.01.01, 26.02.03, 35.02.09, 35.02.10, 38.02.02, 39.02.01, 40.02.04, 43.01.11, 43.02.15, 44.02.02, 46.02.02, 49.02.01, 49.02.03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</si>
  <si>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на базе основного общего образования (протокол № 9 от 28.09.2020)</t>
  </si>
  <si>
    <t>Кубанский государственный университет</t>
  </si>
  <si>
    <t>697189.07.01</t>
  </si>
  <si>
    <t>История: Уч.пос. / Г.А.Трифонова - М.:НИЦ ИНФРА-М,2025 - 649 с.(СПО)(П)</t>
  </si>
  <si>
    <t>Трифонова Г.А., Супрунова Е.П., Пай С.С. и др.</t>
  </si>
  <si>
    <t>978-5-16-014652-2</t>
  </si>
  <si>
    <t>00.01.03, 00.02.04, 27.02.06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</si>
  <si>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 (протокол № 8 от 22.06.2020)</t>
  </si>
  <si>
    <t>Дальневосточный государственный технический рыбохозяйственный университет</t>
  </si>
  <si>
    <t>162600.16.01</t>
  </si>
  <si>
    <t>История: Уч.пос. / П.С.Самыгин и др. - М.:НИЦ ИНФРА-М,2020 - 528 с.-(СПО)(П)</t>
  </si>
  <si>
    <t>Самыгин П. С., Самыгин С. И., Шевелев В. Н., Шевелева Е. В.</t>
  </si>
  <si>
    <t>978-5-16-004507-8</t>
  </si>
  <si>
    <t>Рекомендовано в качестве учебного пособия для студентов образовательных учебных заведений, реализующих программы среднего профессионального образования</t>
  </si>
  <si>
    <t>170300.12.01</t>
  </si>
  <si>
    <t>Источники электропитания: Уч.пос. / А.В.Васильков - М.:Форум,2026. - 400 с.(СПО)(П)</t>
  </si>
  <si>
    <t>ИСТОЧНИКИ ЭЛЕКТРОПИТАНИЯ</t>
  </si>
  <si>
    <t>Васильков А. В., Васильков И. А.</t>
  </si>
  <si>
    <t>978-5-91134-436-8</t>
  </si>
  <si>
    <t>10.02.02, 11.02.15, 13.02.07, 13.02.12, 13.02.13, 15.02.09, 15.02.10</t>
  </si>
  <si>
    <t>Рекомендовано Учебно-методическим советом УМЦ по профессиональному образованию Департамента образования города Москвы в качестве учебного пособия для студентов образ. учрежд. среднего профессионального образования</t>
  </si>
  <si>
    <t>Московский городской университет управления Правительства Москвы</t>
  </si>
  <si>
    <t>682950.08.01</t>
  </si>
  <si>
    <t>Кадастровая деятельность: Уч. / А.А.Варламов - 2 изд.,- М.:Форум, НИЦ ИНФРА-М,2023.-280 с..-(СПО)(П)</t>
  </si>
  <si>
    <t>КАДАСТРОВАЯ ДЕЯТЕЛЬНОСТЬ, ИЗД.2</t>
  </si>
  <si>
    <t>Варламов А.А., Гальченко С.А., Аврунев Е.И. и др.</t>
  </si>
  <si>
    <t>978-5-00091-576-9</t>
  </si>
  <si>
    <t>05.02.01, 21.02.19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</si>
  <si>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21.02.04 «Землеустройство», 21.02.05 «Земельно-имущественные отношения»</t>
  </si>
  <si>
    <t>682951.03.01</t>
  </si>
  <si>
    <t>Карантинные болезни растений: Уч.пос. / C.И.Чебаненко - М.:НИЦ ИНФРА-М,2025. - 136 с.(СПО)(О)</t>
  </si>
  <si>
    <t>КАРАНТИННЫЕ БОЛЕЗНИ РАСТЕНИЙ</t>
  </si>
  <si>
    <t>Чебаненко C.И., Белошапкина О.О.</t>
  </si>
  <si>
    <t>978-5-16-013953-1</t>
  </si>
  <si>
    <t>19.02.11, 19.02.12, 35.01.23, 35.01.26, 35.01.27, 35.02.05, 35.02.07, 35.02.16, 43.01.11</t>
  </si>
  <si>
    <t>742831.08.01</t>
  </si>
  <si>
    <t>Картография и ГИС: Уч.пос. / В.П.Раклов - 3 изд. - М.:НИЦ ИНФРА-М,2026 - 215 с.-(СПО)(П)</t>
  </si>
  <si>
    <t>КАРТОГРАФИЯ И ГИС, ИЗД.3</t>
  </si>
  <si>
    <t>Раклов В.П.</t>
  </si>
  <si>
    <t>978-5-16-016460-1</t>
  </si>
  <si>
    <t>08.02.08, 21.02.09, 21.02.10, 21.02.11, 21.02.12, 21.02.13, 21.02.14, 21.02.15, 21.02.16, 21.02.17, 21.02.18, 21.02.20, 35.01.01, 35.02.01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</si>
  <si>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"Землеустройство и кадастры" (протокол № 8 от 22.06.2020)</t>
  </si>
  <si>
    <t>682952.04.01</t>
  </si>
  <si>
    <t>Климатология: Уч. / А.В.Кислов - 3 изд., доп. - М.:НИЦ ИНФРА-М,2023 - 324 с.-(СПО)(П)</t>
  </si>
  <si>
    <t>КЛИМАТОЛОГИЯ, ИЗД.3</t>
  </si>
  <si>
    <t>Кислов А.В., Суркова Г.В.</t>
  </si>
  <si>
    <t>978-5-16-013954-8</t>
  </si>
  <si>
    <t>05.02.02, 05.02.03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</si>
  <si>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УГС 05.02.00 «Науки о Земле»</t>
  </si>
  <si>
    <t>Московский государственный университет им. М.В. Ломоносова, географический факультет</t>
  </si>
  <si>
    <t>632528.04.01</t>
  </si>
  <si>
    <t>Коммент. к Конституции РФ для студент... / М.Б.Смоленский -М.:ИЦ РИОР,НИЦ ИНФРА-М,2019-230с.(О,к/ф)</t>
  </si>
  <si>
    <t>КОММЕНТАРИЙ К КОНСТИТУЦИИ РОССИЙСКОЙ ФЕДЕРАЦИИ ДЛЯ СТУДЕНТОВ И ШКОЛЬНИКОВ (ПОСТАТЕЙНЫЙ)</t>
  </si>
  <si>
    <t>Смоленский М.Б.</t>
  </si>
  <si>
    <t>978-5-369-01561-2</t>
  </si>
  <si>
    <t>40.02.04, 44.02.03</t>
  </si>
  <si>
    <t>632528.08.01</t>
  </si>
  <si>
    <t>Комментарий к Конституции РФ для студ... / М.Б.Смоленский - 2 изд. - М.:ИЦ РИОР,НИЦ ИНФРА-М,2025 - 254 с.(О,к/ф)</t>
  </si>
  <si>
    <t>КОММЕНТАРИЙ К КОНСТИТУЦИИ РОССИЙСКОЙ ФЕДЕРАЦИИ ДЛЯ СТУДЕНТОВ И ШКОЛЬНИКОВ (ПОСТАТЕЙНЫЙ), ИЗД.2</t>
  </si>
  <si>
    <t>978-5-369-01897-2</t>
  </si>
  <si>
    <t>469750.07.01</t>
  </si>
  <si>
    <t>Коммерция (по отраслям). Уч.мет.пос. / С.И.Жулидов - М.:ИД ФОРУМ, НИЦ ИНФРА-М,2020 -96с.(О)</t>
  </si>
  <si>
    <t>КОММЕРЦИЯ (ПО ОТРАСЛЯМ) : УЧЕБНО-МЕТОДИЧЕСКОЕ ПОСОБИЕ ПО ПОДГОТОВКЕ И ЗАЩИТЕ ВЫПУСКНОЙ КВАЛИФИКАЦИОННОЙ РАБОТЫ</t>
  </si>
  <si>
    <t>Жулидов С. И., Матырская Н. В., Земцова Н. Ф., Дуравина М. Ю.</t>
  </si>
  <si>
    <t>978-5-8199-0751-1</t>
  </si>
  <si>
    <t>38.02.03, 38.02.08</t>
  </si>
  <si>
    <t>Рекомендовано УМК в качестве учебного пособия для студентов средних специальных учебных заведений, обучающихся по специальности 38.02.04 «Коммерция»</t>
  </si>
  <si>
    <t>Многоотраслевой колледж г. Моршанск</t>
  </si>
  <si>
    <t>469750.08.01</t>
  </si>
  <si>
    <t>Коммерция (по отраслям): Уч.мет.пос. / С.И.Жулидов - 2 изд.-М.:НИЦ ИНФРА-М,2023.-209 с.(П)</t>
  </si>
  <si>
    <t>КОММЕРЦИЯ (ПО ОТРАСЛЯМ), ИЗД.2</t>
  </si>
  <si>
    <t>Жулидов С.И., Матырская Н.В., Катюхина Г.А. и др.</t>
  </si>
  <si>
    <t>978-5-16-016628-5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</si>
  <si>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38.02.04 «Коммерция (по отраслям)» (протокол № 6 от 08.06.2022)</t>
  </si>
  <si>
    <t>684814.03.01</t>
  </si>
  <si>
    <t>Коммерция: Уч.пос. / Г.Г.Иванов - М.:ИД ФОРУМ, НИЦ ИНФРА-М,2023 - 160 с.-(СПО)(П)</t>
  </si>
  <si>
    <t>КОММЕРЦИЯ</t>
  </si>
  <si>
    <t>Иванов Г.Г., Орлов С.Л.</t>
  </si>
  <si>
    <t>978-5-8199-0807-5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</si>
  <si>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38.02.04 «Коммерция (по отраслям)»</t>
  </si>
  <si>
    <t>719421.05.01</t>
  </si>
  <si>
    <t>Коммерческая логистика: Уч.пос. / Под ред. Нагапетьянца Н.А. - 2 изд. - М.:НИЦ ИНФРА-М,2026-259 с.(П)</t>
  </si>
  <si>
    <t>КОММЕРЧЕСКАЯ ЛОГИСТИКА, ИЗД.2</t>
  </si>
  <si>
    <t>Нагапетьянц Н.А., Каменева Н.Г., Поляков В.А. и др.</t>
  </si>
  <si>
    <t>978-5-16-015895-2</t>
  </si>
  <si>
    <t>23.02.01, 38.02.03, 38.02.08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</si>
  <si>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экономическим специальностям (протокол № 3 от 17.03.2021)</t>
  </si>
  <si>
    <t>757945.01.01</t>
  </si>
  <si>
    <t>Комплексный экономический анализ: Уч.пос. / М.В.Мельник - М.:НИЦ ИНФРА-М,2021 - 316 с.(СПО)(П)</t>
  </si>
  <si>
    <t>КОМПЛЕКСНЫЙ ЭКОНОМИЧЕСКИЙ АНАЛИЗ, ИЗД.2</t>
  </si>
  <si>
    <t>Мельник М.В., Кривцов А.И., Лихтарова О.В.</t>
  </si>
  <si>
    <t>978-5-16-016962-0</t>
  </si>
  <si>
    <t>776799.01.01</t>
  </si>
  <si>
    <t>Комплексный экономический анализ: Уч.пос. / М.В.Мельник - М.:НИЦ ИНФРА-М,2022 - 352 с.(СПО)(П)</t>
  </si>
  <si>
    <t>КОМПЛЕКСНЫЙ ЭКОНОМИЧЕСКИЙ АНАЛИЗ</t>
  </si>
  <si>
    <t>978-5-16-017635-2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</si>
  <si>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экономическим специальностям (протокол № 10 от 15.12.2021)</t>
  </si>
  <si>
    <t>682953.07.01</t>
  </si>
  <si>
    <t>Композиция в архитектуре и градостроит.: Уч.пос. / Г.А.Потаев - М.:Форум, НИЦ ИНФРА-М,2025 - 304 с.(СПО)(П)</t>
  </si>
  <si>
    <t>КОМПОЗИЦИЯ В АРХИТЕКТУРЕ И ГРАДОСТРОИТЕЛЬСТВЕ</t>
  </si>
  <si>
    <t>Потаев Г.А.</t>
  </si>
  <si>
    <t>978-5-00091-577-6</t>
  </si>
  <si>
    <t>07.02.01, 29.01.09, 42.02.01, 43.01.11, 43.02.17, 53.02.09, 54.01.01, 54.01.06, 54.01.12, 54.01.20, 54.02.01, 54.02.02, 54.02.04, 54.02.06, 54.02.07, 54.02.08, 55.02.02, 55.02.03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</si>
  <si>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07.02.00 «Архитектура» (протокол № 9 от 13.05.2019)</t>
  </si>
  <si>
    <t>Белорусский национальный технический университет</t>
  </si>
  <si>
    <t>741928.05.01</t>
  </si>
  <si>
    <t>Композиция и дизайн мебели: Уч. / А.А.Барташевич, - 2 изд. - М.:НИЦ ИНФРА-М,2025. - 183 с.(СПО)(П)</t>
  </si>
  <si>
    <t>КОМПОЗИЦИЯ И ДИЗАЙН МЕБЕЛИ, ИЗД.2</t>
  </si>
  <si>
    <t>978-5-16-016802-9</t>
  </si>
  <si>
    <t>29.01.09, 35.02.18, 42.02.01, 43.02.17, 53.02.09, 54.02.01, 54.02.02, 54.02.04, 54.02.06, 54.02.07, 54.02.08, 55.02.03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</si>
  <si>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35.02.03 «Технология деревообработки», 54.02.01 «Дизайн (по отраслям)» (протокол № 10 от 12.10.2020)</t>
  </si>
  <si>
    <t>682954.13.01</t>
  </si>
  <si>
    <t>Компьютерная графика и web-дизайн: Уч.пос. / Гагарина Л.Г. - М., НИЦ ИНФРА-М,2026 - 400 с.(П)</t>
  </si>
  <si>
    <t>КОМПЬЮТЕРНАЯ ГРАФИКА И WEB-ДИЗАЙН</t>
  </si>
  <si>
    <t>Немцова Т.И., Казанкова Т.В., Шнякин А.В. и др.</t>
  </si>
  <si>
    <t>978-5-16-021449-8</t>
  </si>
  <si>
    <t>05.02.01, 09.02.01, 09.02.02, 09.02.03, 09.02.04, 09.02.05, 09.02.06, 09.02.07, 09.02.08, 21.02.19, 24.02.02, 54.02.01</t>
  </si>
  <si>
    <t>Рекомендовано Учебно-методическим советом по среднему профессиональному образованию в качестве учебного пособия для студентов, обучающихся по УГС 09.02.00 «Информатика и вычислительная техника»</t>
  </si>
  <si>
    <t>ООО "ИННОВАЦИЯ" структурное подразделение "Центр Компьютерного Обучения и Дополнительного Образовани</t>
  </si>
  <si>
    <t>799997.01.01</t>
  </si>
  <si>
    <t>Компьютерная графика: Компас-3 v22: Уч.пос. / В.Н.Шитов - М.:НИЦ ИНФРА-М,2026. - 258 с.(СПО)(п)</t>
  </si>
  <si>
    <t>КОМПЬЮТЕРНАЯ ГРАФИКА: КОМПАС-3 V22</t>
  </si>
  <si>
    <t>978-5-16-020516-8</t>
  </si>
  <si>
    <t>15.02.16</t>
  </si>
  <si>
    <t>690241.02.01</t>
  </si>
  <si>
    <t>Компьютерные программы в электроэнергетике: Прак.: Уч.пос. / А.М.Башкатов.-М.:НИЦ ИНФРА-М,2023.-455 с.(СПО)(П)</t>
  </si>
  <si>
    <t>КОМПЬЮТЕРНЫЕ ПРОГРАММЫ В ЭЛЕКТРОЭНЕРГЕТИКЕ. ПРАКТИКУМ</t>
  </si>
  <si>
    <t>Башкатов А.М., Сумеркин Е.А., Заседателев Р.С.</t>
  </si>
  <si>
    <t>978-5-16-015738-2</t>
  </si>
  <si>
    <t>13.02.07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</si>
  <si>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13.02.00 «Электро- и теплоэнергетика» (протокол № 10 от 12.10.2020)</t>
  </si>
  <si>
    <t>Приднестровский Государственный университет им. Т. Г. Шевченко</t>
  </si>
  <si>
    <t>064700.18.01</t>
  </si>
  <si>
    <t>Компьютерные сети: Уч.пос. / А.В.Кузин - 4 изд. - М.:Форум,НИЦ ИНФРА-М,2025 - 190 с.-(СПО)(п)</t>
  </si>
  <si>
    <t>КОМПЬЮТЕРНЫЕ СЕТИ, ИЗД.4</t>
  </si>
  <si>
    <t>Кузин А.В., Кузин Д.А.</t>
  </si>
  <si>
    <t>978-5-00091-453-3</t>
  </si>
  <si>
    <t>09.02.01, 09.02.02, 09.02.03, 09.02.04, 09.02.05, 09.02.06, 09.02.07, 09.02.08, 09.02.09, 10.02.01, 10.02.02, 10.02.03, 10.02.04, 10.02.05, 11.02.15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</si>
  <si>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направлениям подготовки 09.02.02 «Компьютерные сети», 09.02.01 «Компьютерные системы и комплексы» и 09.02.05 «Прикладная информатика (по отраслям)»</t>
  </si>
  <si>
    <t>Даичи ООО</t>
  </si>
  <si>
    <t>0416</t>
  </si>
  <si>
    <t>040100.31.01</t>
  </si>
  <si>
    <t>Компьютерные сети: Уч.пос. / Н.В.Максимов - 6 изд. - М.:Форум,НИЦ ИНФРА-М,2026 - 464 с.(СПО)(П)</t>
  </si>
  <si>
    <t>КОМПЬЮТЕРНЫЕ СЕТИ, ИЗД.6</t>
  </si>
  <si>
    <t>Максимов Н. В., Попов И. И.</t>
  </si>
  <si>
    <t>978-5-00091-454-0</t>
  </si>
  <si>
    <t>09.01.03, 09.01.04, 09.02.01, 09.02.02, 09.02.03, 09.02.04, 09.02.05, 09.02.06, 09.02.07, 09.02.08, 09.02.09, 10.02.01, 10.02.02, 10.02.03, 11.02.15, 11.02.18</t>
  </si>
  <si>
    <t>Допущено Министерством образования Российской Федерации в качестве учебного пособия для студентов учреждений среднего профессионального образования, обучающихся по специальностям информатики и вычислительной техники</t>
  </si>
  <si>
    <t>178750.08.01</t>
  </si>
  <si>
    <t>Компьютерный видеомонтаж: Уч.пос. / Л.И.Алешин - М.:Форум,2024- 176 с.(О)</t>
  </si>
  <si>
    <t>КОМПЬЮТЕРНЫЙ ВИДЕОМОНТАЖ</t>
  </si>
  <si>
    <t>Алешин Л. И.</t>
  </si>
  <si>
    <t>978-5-91134-634-8</t>
  </si>
  <si>
    <t>09.02.05</t>
  </si>
  <si>
    <t>682956.01.01</t>
  </si>
  <si>
    <t>Конвенционные требования к безопасности судоходства:Уч.пос. / В.И.Истомин и др.-М.:Вузовский учебник, НИЦ ИНФРА-М,2019.-136 с..-(Среднее профе</t>
  </si>
  <si>
    <t>КОНВЕНЦИОННЫЕ ТРЕБОВАНИЯ К БЕЗОПАСНОСТИ СУДОХОДСТВА</t>
  </si>
  <si>
    <t>Истомин В.И., Курочкин Л.Е., Тверская С.Е.</t>
  </si>
  <si>
    <t>978-5-9558-0623-5</t>
  </si>
  <si>
    <t>26.02.01, 26.02.03, 26.02.05, 26.02.06, 43.01.04</t>
  </si>
  <si>
    <t>Севастопольский государственный университет</t>
  </si>
  <si>
    <t>775474.01.01</t>
  </si>
  <si>
    <t>Конституционное право России: Уч. для СПО / М.С.Саликов - М.:Юр. НОРМА, НИЦ ИНФРА-М,2022 - 496 с.(П)</t>
  </si>
  <si>
    <t>КОНСТИТУЦИОННОЕ ПРАВО РОССИИ. УЧЕБНИК ДЛЯ СПО</t>
  </si>
  <si>
    <t>Саликов М.С., Кокотов А.Н., Несмеянова С.Э. и др.</t>
  </si>
  <si>
    <t>978-5-00156-238-2</t>
  </si>
  <si>
    <t>848915.01.01</t>
  </si>
  <si>
    <t>Конституционное право РФ: Уч.пос. / Д.Н.Лукоянов - М.:ИЦ РИОР, НИЦ ИНФРА-М,2025. - 115 с.(СПО)(о)</t>
  </si>
  <si>
    <t>КОНСТИТУЦИОННОЕ ПРАВО РОССИЙСКОЙ ФЕДЕРАЦИИ</t>
  </si>
  <si>
    <t>Лукоянов Д.Н.</t>
  </si>
  <si>
    <t>978-5-369-01991-7</t>
  </si>
  <si>
    <t>Костромской государственный университет</t>
  </si>
  <si>
    <t>770521.01.01</t>
  </si>
  <si>
    <t>Конституционное право: Уч. / С.В.Нарутто - М.:ИЦ РИОР, НИЦ ИНФРА-М,2022 - 398 с.-(СПО)(П)</t>
  </si>
  <si>
    <t>КОНСТИТУЦИОННОЕ ПРАВО</t>
  </si>
  <si>
    <t>Нарутто С.В., Таева Н.Е.</t>
  </si>
  <si>
    <t>978-5-369-01890-3</t>
  </si>
  <si>
    <t>00.02.08, 40.02.04</t>
  </si>
  <si>
    <t>770521.03.01</t>
  </si>
  <si>
    <t>Конституционное право: Уч. / С.В.Нарутто, - 2 изд. - М.:ИЦ РИОР, НИЦ ИНФРА-М,2024. - 402 с.(СПО)(п)</t>
  </si>
  <si>
    <t>КОНСТИТУЦИОННОЕ ПРАВО, ИЗД.2</t>
  </si>
  <si>
    <t>978-5-369-01941-2</t>
  </si>
  <si>
    <t>770521.05.01</t>
  </si>
  <si>
    <t>Конституционное право: Уч. / С.В.Нарутто, - 3 изд. - М.:ИЦ РИОР, НИЦ ИНФРА-М,2025. - 405 с.(СПО)(п)</t>
  </si>
  <si>
    <t>КОНСТИТУЦИОННОЕ ПРАВО, ИЗД.3</t>
  </si>
  <si>
    <t>978-5-369-01981-8</t>
  </si>
  <si>
    <t>682957.09.01</t>
  </si>
  <si>
    <t>Конструирование изд. легкой пром.: конструир...: Уч. / Л.Ю.Махоткина - М.:НИЦ ИНФРА-М,2026 - 295 с(СПО)(П)</t>
  </si>
  <si>
    <t>КОНСТРУИРОВАНИЕ ИЗДЕЛИЙ ЛЕГКОЙ ПРОМЫШЛЕННОСТИ: КОНСТРУИРОВАНИЕ ИЗДЕЛИЙ ИЗ КОЖИ</t>
  </si>
  <si>
    <t>Махоткина Л.Ю., Никитина Л.Л., Гаврилова О.Е.</t>
  </si>
  <si>
    <t>978-5-16-013956-2</t>
  </si>
  <si>
    <t>29.01.31, 29.01.33, 29.02.10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</si>
  <si>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29.02.01 «Конструирование, моделирование и технология изделий из кожи», 29.02.02 «Технология кожи и меха»</t>
  </si>
  <si>
    <t>704320.07.01</t>
  </si>
  <si>
    <t>Конструирование изделий легкой промыш...: Уч. / Л.Ю.Махоткина - М.:НИЦ ИНФРА-М,2026 - 324 с.(СПО)(П)</t>
  </si>
  <si>
    <t>КОНСТРУИРОВАНИЕ ИЗДЕЛИЙ ЛЕГКОЙ ПРОМЫШЛЕННОСТИ: КОНСТРУИРОВАНИЕ ШВЕЙНЫХ ИЗДЕЛИЙ</t>
  </si>
  <si>
    <t>978-5-16-014930-1</t>
  </si>
  <si>
    <t>29.01.04, 29.02.10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</si>
  <si>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29.02.04 «Конструирование, моделирование и технология швейных изделий» (протокол № 13 от 16.09.2019)</t>
  </si>
  <si>
    <t>704373.04.01</t>
  </si>
  <si>
    <t>Конструирование изделий легкой...: Уч. / Под ред. Абуталиповой Л.Н. - М.:НИЦ ИНФРА-М,2025.-274 с(СПО)</t>
  </si>
  <si>
    <t>КОНСТРУИРОВАНИЕ ИЗДЕЛИЙ ЛЕГКОЙ ПРОМЫШЛЕННОСТИ: ТЕОРЕТИЧЕСКИЕ ОСНОВЫ ПРОЕКТИРОВАНИЯ</t>
  </si>
  <si>
    <t>Махоткина Л.Ю., Никитина Л.Л., Гаврилова О.Е. и др.</t>
  </si>
  <si>
    <t>978-5-16-014935-6</t>
  </si>
  <si>
    <t>27.02.04, 29.01.04, 29.01.31, 29.01.33, 29.02.05, 29.02.10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</si>
  <si>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29.02.00 «Технологии легкой промышленности» (протокол № 5 от 16.03.2020)</t>
  </si>
  <si>
    <t>682958.10.01</t>
  </si>
  <si>
    <t>Конструирование одежды: Теория и практ.: Уч.пос. / Л.П.Шершнева - М.:ИД ФОРУМ,НИЦ ИНФРА-М,2025 - 288 с/(СПО)</t>
  </si>
  <si>
    <t>КОНСТРУИРОВАНИЕ ОДЕЖДЫ: ТЕОРИЯ И ПРАКТИКА</t>
  </si>
  <si>
    <t>Шершнева Л.П., Ларькина Л.В.</t>
  </si>
  <si>
    <t>978-5-8199-0791-7</t>
  </si>
  <si>
    <t>27.02.04, 29.01.04, 29.01.31, 29.01.33, 29.02.10, 54.02.06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</si>
  <si>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29.02.01 «Конструирование, моделирование и технология изделий из кожи», 29.02.03 «Конструирование, моделирование и технология изделий из меха», 29.02.04 «Конструирование, моделирование и технология швейных изделий», 29.02.05 «Технология текстильных изделий (по видам)»</t>
  </si>
  <si>
    <t>472850.11.01</t>
  </si>
  <si>
    <t>Конструирование швейных изделий. Проектир: Уч.пос. / Л.В.Кочесова - 2 изд. - М.: НИЦ ИНФРА-М,2026 - 391 с.(П)</t>
  </si>
  <si>
    <t>КОНСТРУИРОВАНИЕ ШВЕЙНЫХ ИЗДЕЛИЙ. ПРОЕКТИРОВАНИЕ СОВРЕМЕННЫХ ШВЕЙНЫХ ИЗДЕЛИЙ НА ИНДИВИДУАЛЬНУЮ ФИГУРУ, ИЗД.2</t>
  </si>
  <si>
    <t>Кочесова Л.В., Коваленко Е.В.</t>
  </si>
  <si>
    <t>978-5-16-021306-4</t>
  </si>
  <si>
    <t>27.02.04, 29.01.33, 29.02.10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</si>
  <si>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специальности 29.02.04 «Конструирование, моделирование и технология швейных изделий»</t>
  </si>
  <si>
    <t>Колледж Петербургской моды</t>
  </si>
  <si>
    <t>682959.10.01</t>
  </si>
  <si>
    <t>Конструктивное модел.одежды в терминах..: Уч.пос. / Л.П.Шершнева - М.:ИД ФОРУМ,НИЦ ИНФРА-М,2025-271(СПО)(П)</t>
  </si>
  <si>
    <t>КОНСТРУКТИВНОЕ МОДЕЛИРОВАНИЕ ОДЕЖДЫ В ТЕРМИНАХ, ЭСКИЗАХ И ЧЕРТЕЖАХ</t>
  </si>
  <si>
    <t>Шершнева Л.П., Дубоносова Е.А., Сунаева С.Г. и др.</t>
  </si>
  <si>
    <t>978-5-8199-0792-4</t>
  </si>
  <si>
    <t>29.01.04, 29.01.31, 29.01.33, 29.02.05, 29.02.10, 43.01.11, 54.01.01, 54.01.05, 54.01.06, 54.01.12, 54.01.20, 54.02.01, 54.02.03, 54.02.06</t>
  </si>
  <si>
    <t>Рекомендовано УМО по образованию в области технологии, конструирования изделий легкой промышленности в качестве учебного пособия для студентов высших учебных заведений, обучающихся по направлению подготовки 29.03.05 «Конструирование изделий легкой промышленности»</t>
  </si>
  <si>
    <t>682960.03.01</t>
  </si>
  <si>
    <t>Конструкторско-технолог.обесп.предпр.индустр.моды/Н.И.Смирнова-М.:Форум,НИЦ ИНФРА-М,2023-272(СПО)(П)</t>
  </si>
  <si>
    <t>КОНСТРУКТОРСКО-ТЕХНОЛОГИЧЕСКОЕ ОБЕСПЕЧЕНИЕ ПРЕДПРИЯТИЙ ИНДУСТРИИ МОДЫ</t>
  </si>
  <si>
    <t>Смирнова Н.И., Воронкова Т.Ю., Конопальцева Н.М.</t>
  </si>
  <si>
    <t>978-5-16-015867-9</t>
  </si>
  <si>
    <t>Лабораторный практикум</t>
  </si>
  <si>
    <t>27.02.04, 29.01.33, 29.02.05, 29.02.10</t>
  </si>
  <si>
    <t>682961.08.01</t>
  </si>
  <si>
    <t>Конструкции деревянных зданий: Уч. / В.И.Запруднов - М.:НИЦ ИНФРА-М,2025 - 304 с.-(СПО)(П)</t>
  </si>
  <si>
    <t>КОНСТРУКЦИИ ДЕРЕВЯННЫХ ЗДАНИЙ</t>
  </si>
  <si>
    <t>Запруднов В.И., Стриженко В.В.</t>
  </si>
  <si>
    <t>978-5-16-014632-4</t>
  </si>
  <si>
    <t>07.02.01, 08.02.01, 35.02.12, 35.02.18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</si>
  <si>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35.02.03 «Технология деревообработки» (протокол № 4 от 25.02.2019)</t>
  </si>
  <si>
    <t>103400.20.01</t>
  </si>
  <si>
    <t>Конструкции зданий и сооружений с элемент. статики / Под ред. Л.Р. Маиляна. - М.: ИНФРА-М,2026. - 687 с.(СПО) (п)</t>
  </si>
  <si>
    <t>КОНСТРУКЦИИ ЗДАНИЙ И СООРУЖЕНИЙ С ЭЛЕМЕНТАМИ СТАТИКИ</t>
  </si>
  <si>
    <t>Маилян Л. Р.</t>
  </si>
  <si>
    <t>ИНФРА-М Издательский Дом</t>
  </si>
  <si>
    <t>978-5-16-003508-6</t>
  </si>
  <si>
    <t>08.02.15</t>
  </si>
  <si>
    <t>Допущено Федеральным агентством по строительству и ЖКХ в качестве учебника для студентов сред. спец. учеб. зав., обуч. по спец. 270301 Архитектура</t>
  </si>
  <si>
    <t>НИИ строительной физики Российской Академии архитектуры и строительных наук</t>
  </si>
  <si>
    <t>682962.09.01</t>
  </si>
  <si>
    <t>Конструкции и наладка токарных станков: Уч.пос. / Л.И.Вереина и др. - М.:НИЦ ИНФРА-М,2026 - 480 с.(СПО)(П)</t>
  </si>
  <si>
    <t>КОНСТРУКЦИИ И НАЛАДКА ТОКАРНЫХ СТАНКОВ</t>
  </si>
  <si>
    <t>Вереина Л.И., Краснов М.М., Вереина Л.И.</t>
  </si>
  <si>
    <t>978-5-16-013960-9</t>
  </si>
  <si>
    <t>15.01.38, 15.02.01, 15.02.04, 15.02.16, 15.02.17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</si>
  <si>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15.02.01 «Монтаж и техническая эксплуатация промышленного оборудования (по отраслям)», 15.02.05 «Техническая эксплуатация оборудования в торговле и общественном питании», 15.02.08 «Технология машиностроения»</t>
  </si>
  <si>
    <t>682963.04.01</t>
  </si>
  <si>
    <t>Конструкция автомобильных трансмиссий: Уч.пос. / В.И.Песков - М.:НИЦ ИНФРА-М,2025 - 146 с.(СПО)(П)</t>
  </si>
  <si>
    <t>КОНСТРУКЦИЯ АВТОМОБИЛЬНЫХ ТРАНСМИССИЙ</t>
  </si>
  <si>
    <t>Песков В.И.</t>
  </si>
  <si>
    <t>978-5-16-016145-7</t>
  </si>
  <si>
    <t>15.02.01, 15.02.16, 23.02.02</t>
  </si>
  <si>
    <t>055150.19.01</t>
  </si>
  <si>
    <t>Контроль качества воды: Уч. / Л.С. Алексеев - 4 изд. - М.: НИЦ ИНФРА-М, 2026 - 159 с.(СПО) (п)</t>
  </si>
  <si>
    <t>КОНТРОЛЬ КАЧЕСТВА ВОДЫ, ИЗД.4</t>
  </si>
  <si>
    <t>Алексеев Л. С.</t>
  </si>
  <si>
    <t>978-5-16-010316-7</t>
  </si>
  <si>
    <t>08.01.29, 08.02.01, 08.02.02, 08.02.04, 08.02.13, 08.02.14, 13.02.02, 13.02.05, 18.02.12, 35.01.33</t>
  </si>
  <si>
    <t>Допущено Государственным комитетом Российской Федерации по строительству и жилищно-коммунальному комплексу в качестве учебника для студентов средних специальных учебных заведений, обучающихся по специальности 08.02.04 «Водоснабжение и водоотведение»</t>
  </si>
  <si>
    <t>0409</t>
  </si>
  <si>
    <t>684352.05.01</t>
  </si>
  <si>
    <t>Конфекционирование матер. для одежды: Уч.пос. / Л.В.Орленко - М.:ИД ФОРУМ, НИЦ ИНФРА-М,2025. - 287 с.(П)</t>
  </si>
  <si>
    <t>КОНФЕКЦИОНИРОВАНИЕ МАТЕРИАЛОВ ДЛЯ ОДЕЖДЫ</t>
  </si>
  <si>
    <t>Орленко Л.В., Гаврилова Н.И.</t>
  </si>
  <si>
    <t>978-5-8199-0788-7</t>
  </si>
  <si>
    <t>29.01.04, 29.01.31, 29.01.33, 29.02.05, 29.02.10, 54.01.05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</si>
  <si>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29.02.04 «Конструирование, моделирование и технология швейных изделий», 29.02.05 «Технология текстильных изделий (по видам)» (протокол № 13 от 16.09.2019)</t>
  </si>
  <si>
    <t>747208.05.01</t>
  </si>
  <si>
    <t>Конфиденциальное делопроизводство: Уч.пос. / Т.А.Гугуева - 2 изд. - М.:НИЦ ИНФРА-М,2026 - 199 с.-(СПО)(П)</t>
  </si>
  <si>
    <t>КОНФИДЕНЦИАЛЬНОЕ ДЕЛОПРОИЗВОДСТВО, ИЗД.2</t>
  </si>
  <si>
    <t>Гугуева Т.А.</t>
  </si>
  <si>
    <t>978-5-16-016585-1</t>
  </si>
  <si>
    <t>09.01.03, 10.02.01, 11.02.12, 18.02.01, 19.02.11, 21.02.19, 29.02.05, 38.02.01, 38.02.02, 38.02.03, 38.02.06, 38.02.07, 38.02.08, 39.02.01, 40.02.02, 40.02.04, 43.02.01, 46.02.01, 46.02.02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</si>
  <si>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10.02.00 «Информационная безопасность», 38.02.00 «Экономика и менеджмент», 40.02.00» Юриспруденция», 46.02.00» История и археология»  (протокол № 8 от 22.06.2020)</t>
  </si>
  <si>
    <t>Газпром, ф-л Служба корпоративной защиты ПАО "Газпром" в г. Москве</t>
  </si>
  <si>
    <t>838317.01.01</t>
  </si>
  <si>
    <t>Конфликтология: Уч. / Под ред. Кибанова А.Я. - 2 изд. - М.:НИЦ ИНФРА-М,2025 - 301 с.(СПО)(п)</t>
  </si>
  <si>
    <t>КОНФЛИКТОЛОГИЯ, ИЗД.2</t>
  </si>
  <si>
    <t>Кибанов А. Я., Ворожейкин И. Е., Захаров Д. К., Коновалова В. Г., Кибанов А. Я.</t>
  </si>
  <si>
    <t>978-5-16-020210-5</t>
  </si>
  <si>
    <t>20.02.05, 31.02.04, 32.02.01, 38.02.03, 38.02.07, 38.02.08, 43.02.06, 43.02.16</t>
  </si>
  <si>
    <t>Ноябрь, 2024</t>
  </si>
  <si>
    <t>844588.01.01</t>
  </si>
  <si>
    <t>Координация раб. служб предпр. туризма и...: Уч.пос. / Н.В.Шалаева - М.:НИЦ ИНФРА-М,2025. - 254 с.(СПО)(п)</t>
  </si>
  <si>
    <t>КООРДИНАЦИЯ РАБОТЫ СЛУЖБ ПРЕДПРИЯТИЙ ТУРИЗМА И ГОСТЕПРИИМСТВА</t>
  </si>
  <si>
    <t>Шалаева Н.В.</t>
  </si>
  <si>
    <t>978-5-16-020556-4</t>
  </si>
  <si>
    <t>Апшеронский лесхоз-техникум</t>
  </si>
  <si>
    <t>656872.09.01</t>
  </si>
  <si>
    <t>Корабельный устав Военно-Морского Флота РФ - 2 изд. - М.:НИЦ ИНФРА-М,2025. - 271 с.(П)</t>
  </si>
  <si>
    <t>КОРАБЕЛЬНЫЙ УСТАВ ВОЕННО-МОРСКОГО ФЛОТА РФ, ИЗД.2</t>
  </si>
  <si>
    <t>Без автора</t>
  </si>
  <si>
    <t>Федеральные нормы и правила</t>
  </si>
  <si>
    <t>978-5-16-017985-8</t>
  </si>
  <si>
    <t>Закон РФ</t>
  </si>
  <si>
    <t>26.02.03, 26.02.04, 26.02.05, 26.02.06, 26.03.01, 26.05.05, 26.05.06, 26.05.07, 56.05.04</t>
  </si>
  <si>
    <t>Утвержден Указом Президента Российской Федерации от 31 июля 2022 года № 511</t>
  </si>
  <si>
    <t>656872.04.01</t>
  </si>
  <si>
    <t>Корабельный устав Военно-Морского Флота РФ - М.:НИЦ ИНФРА-М,2021 - 462 с.(П)</t>
  </si>
  <si>
    <t>КОРАБЕЛЬНЫЙ УСТАВ ВОЕННО-МОРСКОГО ФЛОТА РФ</t>
  </si>
  <si>
    <t>978-5-16-012795-8</t>
  </si>
  <si>
    <t>Введен в действие приказом Главнокомандующего Военно-Морским Флотом от 1 сентября 2001 года № 350</t>
  </si>
  <si>
    <t>303900.03.01</t>
  </si>
  <si>
    <t>Кормопроизводство с основами земледелия: Уч. / С.С. Михалев - М.: НИЦ ИНФРА-М, 2018-352с.(СПО)</t>
  </si>
  <si>
    <t>КОРМОПРОИЗВОДСТВО С ОСНОВАМИ ЗЕМЛЕДЕЛИЯ</t>
  </si>
  <si>
    <t>Михалев С. С., Хохлов Н. Ф., Лазарев Н. Н.</t>
  </si>
  <si>
    <t>978-5-16-010232-0</t>
  </si>
  <si>
    <t>36.02.03</t>
  </si>
  <si>
    <t>303900.10.01</t>
  </si>
  <si>
    <t>Кормопроизводство с основами земледелия: Уч. / С.С.Михалев- 2 изд.-М.:НИЦ ИНФРА-М,2024-352с(СПО)(п)</t>
  </si>
  <si>
    <t>КОРМОПРОИЗВОДСТВО С ОСНОВАМИ ЗЕМЛЕДЕЛИЯ, ИЗД.2</t>
  </si>
  <si>
    <t>Михалев С.С., Хохлов Н.Ф., Лазарев Н.Н.</t>
  </si>
  <si>
    <t>Допущено Министерством сельского хозяйства Российской Федерации в качестве учебника для студентов средних специальных учебных заведений по специальности «Зоотехния»</t>
  </si>
  <si>
    <t>833330.02.01</t>
  </si>
  <si>
    <t>Корпоративное право: Уч.пос. / Под ред. Ручкиной Г.Ф. - М.:НИЦ ИНФРА-М,2025 - 160 с.(СПО)(п)</t>
  </si>
  <si>
    <t>КОРПОРАТИВНОЕ ПРАВО</t>
  </si>
  <si>
    <t>Ручкина Г.Ф., Васильева О.Н., Ромашкова И.И. и др.</t>
  </si>
  <si>
    <t>978-5-16-020710-0</t>
  </si>
  <si>
    <t>АКАДЕМУС-2018, Победитель</t>
  </si>
  <si>
    <t>704842.09.01</t>
  </si>
  <si>
    <t>Коррекционная помощь детям раннего возраста...: Пос. / Е.А. Стребелева. - 4 изд. - М.ИНФРА-М,2026 - 128 с.(О)</t>
  </si>
  <si>
    <t>КОРРЕКЦИОННАЯ ПОМОЩЬ ДЕТЯМ РАННЕГО ВОЗРАСТА С ОРГАНИЧЕСКИМ ПОРАЖЕНИЕМ ЦЕНТРАЛЬНОЙ НЕРВНОЙ СИСТЕМЫ В ГРУППАХ КРАТКОВРЕМЕННОГО ПРЕБЫВАНИЯ, ИЗД.4</t>
  </si>
  <si>
    <t>Стребелева Е.А., Белякова Ю.Ю., Браткова М.В. и др.</t>
  </si>
  <si>
    <t>978-5-16-014963-9</t>
  </si>
  <si>
    <t>763137.06.01</t>
  </si>
  <si>
    <t>Коррекционно-восп. раб с детьми дош. возраста с...: Уч.пос. / Т.Г.Неретина - М.:НИЦ ИНФРА-М,2025 - 308 с.(П)</t>
  </si>
  <si>
    <t>КОРРЕКЦИОННО-ВОСПИТАТЕЛЬНАЯ РАБОТА С ДЕТЬМИ ДОШКОЛЬНОГО ВОЗРАСТА С ЗАДЕРЖКОЙ ПСИХИЧЕСКОГО РАЗВИТИЯ</t>
  </si>
  <si>
    <t>Неретина Т.Г.</t>
  </si>
  <si>
    <t>978-5-16-017099-2</t>
  </si>
  <si>
    <t>44.02.04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</si>
  <si>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44.02.01 «Дошкольное образование», 44.02.04 «Специальное дошкольное образование» (протокол № 2 от 17.02.2021)</t>
  </si>
  <si>
    <t>Магнитогорский государственный технический университет им. Г.И. Носова</t>
  </si>
  <si>
    <t>768884.07.01</t>
  </si>
  <si>
    <t>Криминалистика: Уч. / Д.Н.Балашов и др. - 3 изд. - М.:НИЦ ИНФРА-М,2026 - 449 с.-(СПО)(П)</t>
  </si>
  <si>
    <t>КРИМИНАЛИСТИКА, ИЗД.3</t>
  </si>
  <si>
    <t>Балашов Д.Н., Балашов Н.М., Маликов С.В.</t>
  </si>
  <si>
    <t>978-5-16-017344-3</t>
  </si>
  <si>
    <t>40.02.02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</si>
  <si>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юридическим специальностям (протокол № 5 от 19.05.2021)</t>
  </si>
  <si>
    <t>Военный Университет</t>
  </si>
  <si>
    <t>0322</t>
  </si>
  <si>
    <t>683423.09.01</t>
  </si>
  <si>
    <t>Криминалистика: Уч. / Е.Р.Россинская - М.:Юр.Норма, НИЦ ИНФРА-М,2024 - 464 с.-(СПО)(П)</t>
  </si>
  <si>
    <t>КРИМИНАЛИСТИКА</t>
  </si>
  <si>
    <t>Россинская Е.Р.</t>
  </si>
  <si>
    <t>978-5-91768-929-6</t>
  </si>
  <si>
    <t>Допущено Учебно-методическим объединением по юридическому образованию высших учебных заведений в качестве учебника для студентов высших учебных заведений, обучающихся по направлению "Юриспруденция" и специальности "Юриспруденция"</t>
  </si>
  <si>
    <t>683423.10.01</t>
  </si>
  <si>
    <t>Криминалистика: Уч. / Е.Р.Россинская, - 2 изд. - М.:Юр. НОРМА, НИЦ ИНФРА-М,2025. - 608 с.-(СПО)(п)</t>
  </si>
  <si>
    <t>КРИМИНАЛИСТИКА, ИЗД.2</t>
  </si>
  <si>
    <t>978-5-00156-409-6</t>
  </si>
  <si>
    <t>757869.06.01</t>
  </si>
  <si>
    <t>Криминология в схемах и опред.: Уч.пос. / Под ред.Эминова В.Е. - М.:Юр.Норма,НИЦ ИНФРА-М,2026 - 128 с.(П)</t>
  </si>
  <si>
    <t>КРИМИНОЛОГИЯ В СХЕМАХ И ОПРЕДЕЛЕНИЯХ</t>
  </si>
  <si>
    <t>Эминов В.Е.</t>
  </si>
  <si>
    <t>978-5-00156-176-7</t>
  </si>
  <si>
    <t>786380.01.01</t>
  </si>
  <si>
    <t>Криминология и предупреждение преступлений: Уч. / Н.В.Кузьмина-М.:НИЦ ИНФРА-М,2024.-222 с.(СПО)(п)</t>
  </si>
  <si>
    <t>КРИМИНОЛОГИЯ И ПРЕДУПРЕЖДЕНИЕ ПРЕСТУПЛЕНИЙ</t>
  </si>
  <si>
    <t>Кузьмина Н.В.</t>
  </si>
  <si>
    <t>978-5-16-017970-4</t>
  </si>
  <si>
    <t>СПО-2022, Победитель, III место</t>
  </si>
  <si>
    <t>683422.05.01</t>
  </si>
  <si>
    <t>Криминология: Уч. / М.П.Клейменов - М.:Юр.Норма, НИЦ ИНФРА-М,2024 - 400 с.-(СПО)(П)</t>
  </si>
  <si>
    <t>КРИМИНОЛОГИЯ</t>
  </si>
  <si>
    <t>Клейменов М.П.</t>
  </si>
  <si>
    <t>978-5-91768-928-9</t>
  </si>
  <si>
    <t>Допущено УМО по юрид. образованию вузов РФ в качестве учебника для студентов высших учебных заведений, обучающихся по напр. 030500 "Юриспруденция", и по специальностям: 030501 "Юриспруденция", 030505 "Правоохранительная деятельность"</t>
  </si>
  <si>
    <t>ОМГУ ИМ. Ф.М. ДОСТОЕВСКОГО</t>
  </si>
  <si>
    <t>683422.07.01</t>
  </si>
  <si>
    <t>Криминология: Уч. / М.П.Клейменов, - 2 изд  - М.:Юр.Норма, НИЦ ИНФРА-М,2025 - 400 с.-(СПО)(П)</t>
  </si>
  <si>
    <t>КРИМИНОЛОГИЯ, ИЗД.2</t>
  </si>
  <si>
    <t>978-5-00156-424-9</t>
  </si>
  <si>
    <t>709016.01.01</t>
  </si>
  <si>
    <t>Кузнечно-штамповочное производство: Уч. / И.Л.Константинов, - 2 изд.-М.:НИЦ ИНФРА-М,2023.-464 с.(СПО)(п)</t>
  </si>
  <si>
    <t>КУЗНЕЧНО-ШТАМПОВОЧНОЕ ПРОИЗВОДСТВО, ИЗД.2</t>
  </si>
  <si>
    <t>Константинов И.Л., Сидельников С.Б.</t>
  </si>
  <si>
    <t>978-5-16-015279-0</t>
  </si>
  <si>
    <t>12.02.04, 15.02.01, 15.02.03, 15.02.09, 15.02.16, 15.02.17, 23.02.03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</si>
  <si>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22.02.05 «Обработка металлов давлением» (протокол № 9 от 17.11.2022)</t>
  </si>
  <si>
    <t>721351.02.01</t>
  </si>
  <si>
    <t>Культура письменной и устной русской речи..: Практ. пос./ Л.Я.Ковадло-М.:Форум, НИЦ ИНФРА-М,2021-401 с.(СПО)(П)</t>
  </si>
  <si>
    <t>КУЛЬТУРА ПИСЬМЕННОЙ И УСТНОЙ РУССКОЙ РЕЧИ. ДЕЛОВОЕ ПИСЬМО</t>
  </si>
  <si>
    <t>Ковадло Л. Я.</t>
  </si>
  <si>
    <t>978-5-00091-722-0</t>
  </si>
  <si>
    <t>00.01.04, 00.02.15, 11.02.12, 25.02.09, 26.02.03, 38.02.01, 38.02.06, 38.02.07, 38.02.08, 39.02.01, 39.02.03, 42.02.01, 43.02.01, 43.02.06, 43.02.16, 44.02.06, 46.02.01, 51.02.02, 51.02.03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</si>
  <si>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образовательную программу среднего профессионального образования (протокол № 12 от 24.06.2019)</t>
  </si>
  <si>
    <t>780316.05.01</t>
  </si>
  <si>
    <t>Культура речи и деловое общение: Уч.пос. / Н.Ю.Паудяль. - М.:НИЦ ИНФРА-М,2026. - 526 с.(СПО)(П)</t>
  </si>
  <si>
    <t>КУЛЬТУРА РЕЧИ И ДЕЛОВОЕ ОБЩЕНИЕ</t>
  </si>
  <si>
    <t>Паудяль Н.Ю., Филиндаш Л.В.</t>
  </si>
  <si>
    <t>978-5-16-017750-2</t>
  </si>
  <si>
    <t>11.02.12, 32.02.01, 38.02.02, 38.02.07, 39.02.02, 40.02.02, 40.02.04, 42.02.01, 43.02.01, 51.02.03, 52.02.03, 52.02.04, 52.02.05</t>
  </si>
  <si>
    <t>Рекомендовано Межрегиональным учебно-методическим советом профессионального образования в качестве учебного пособия для студентов учреждений среднего профессионального образования, обучающихся по основным образовательным программам среднего профессионального образования  (протокол № 4 от 13.04.2022)</t>
  </si>
  <si>
    <t>682964.02.01</t>
  </si>
  <si>
    <t>Курс инженерной геодезии: Уч. / Н.А.Буденков - 2 изд. - М.:Форум,НИЦ ИНФРА-М,2023 - 272 с.(СПО)(П)</t>
  </si>
  <si>
    <t>КУРС ИНЖЕНЕРНОЙ ГЕОДЕЗИИ, ИЗД.2</t>
  </si>
  <si>
    <t>Буденков Н.А., Нехорошков П.А., Щекова О.Г.</t>
  </si>
  <si>
    <t>978-5-00091-614-8</t>
  </si>
  <si>
    <t>07.02.01, 08.02.01, 08.02.02, 08.02.03, 08.02.04, 08.02.08, 08.02.09, 08.02.12, 08.02.13, 08.02.14, 13.02.04, 21.02.03, 21.02.11, 21.02.19, 23.02.08, 26.02.01, 35.01.19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</si>
  <si>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35.02.01 «Лесное и лесопарковое хозяйство», 35.02.02 «Технология лесозаготовок»</t>
  </si>
  <si>
    <t>Поволжский государственный технологический университет</t>
  </si>
  <si>
    <t>682964.05.01</t>
  </si>
  <si>
    <t>Курс инженерной геодезии: Уч. / Н.А.Буденков - 3 изд. - М.:Форум, НИЦ ИНФРА-М,2025. - 244 с.(СПО)(п)</t>
  </si>
  <si>
    <t>КУРС ИНЖЕНЕРНОЙ ГЕОДЕЗИИ, ИЗД.3</t>
  </si>
  <si>
    <t>978-5-00091-804-3</t>
  </si>
  <si>
    <t>0324</t>
  </si>
  <si>
    <t>674273.04.01</t>
  </si>
  <si>
    <t>Курсовая работа в проф. образ. орг. СПО: Уч.мет.пос. / С.Н.Рыжиков - М.:НИЦ ИНФРА-М,2025. - 345 с.(П)</t>
  </si>
  <si>
    <t>КУРСОВАЯ РАБОТА В ПРОФЕССИОНАЛЬНОЙ ОБРАЗОВАТЕЛЬНОЙ ОРГАНИЗАЦИИ СПО</t>
  </si>
  <si>
    <t>978-5-16-014172-5</t>
  </si>
  <si>
    <t>38.02.01, 38.02.02, 38.02.03, 38.02.06, 38.02.07, 38.02.08, 43.02.11, 43.02.16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</si>
  <si>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38.02.00 «Экономика и управление, 43.02.00 «Сервис и туризм» (протокол № 5 от 16.03.2020)</t>
  </si>
  <si>
    <t>154360.14.01</t>
  </si>
  <si>
    <t>Курсовое и дипломное проектирование: Уч.пос. / Н.П.Молоканова - М.:НИЦ ИНФРА-М,2026. -  88 с.(СПО)(о)</t>
  </si>
  <si>
    <t>КУРСОВОЕ И ДИПЛОМНОЕ ПРОЕКТИРОВАНИЕ</t>
  </si>
  <si>
    <t>Молоканова Н.П.</t>
  </si>
  <si>
    <t>978-5-16-021142-8</t>
  </si>
  <si>
    <t>08.02.03, 15.01.26, 15.01.27, 15.01.35, 15.01.36, 15.01.38, 15.02.07, 15.02.16, 15.02.18, 39.02.01, 44.02.01, 44.02.02, 44.02.03, 44.02.04, 44.02.05, 44.02.06, 49.02.01, 49.02.02</t>
  </si>
  <si>
    <t>Допущено методическим советом Обнинского политехнического техникума в качестве учебного пособия для студентов образовательных учреждений среднего профессионального образования, обучающихся по специальности 15.02.07 «Автоматизация технологических процессов и производств»</t>
  </si>
  <si>
    <t>144550.13.01</t>
  </si>
  <si>
    <t>Курсовое проектирование деталей машин: Уч.пос. / С.А.Чернавский - 3 изд. - М.:НИЦ ИНФРА-М,2025 - 414 с.(П)</t>
  </si>
  <si>
    <t>КУРСОВОЕ ПРОЕКТИРОВАНИЕ ДЕТАЛЕЙ МАШИН, ИЗД.3</t>
  </si>
  <si>
    <t>Чернавский С.А., Боков К.Н., Чернин Е.И. и др.</t>
  </si>
  <si>
    <t>978-5-16-004336-4</t>
  </si>
  <si>
    <t>15.01.26, 15.01.27, 15.01.35, 15.01.36, 15.01.38, 55.02.01</t>
  </si>
  <si>
    <t>Допущено Министерством образования в качестве учебного пособия для учащихся машиностроительных специальностей средних технических учебных заведений</t>
  </si>
  <si>
    <t>039720.14.01</t>
  </si>
  <si>
    <t>Лабораторный практикум по экологии: Уч. пос. / Н.А.Голубкина, - 4 изд. - М.:Форум, НИЦ ИНФРА-М,2025. - 97 с.(О)</t>
  </si>
  <si>
    <t>ЛАБОРАТОРНЫЙ ПРАКТИКУМ ПО ЭКОЛОГИИ, ИЗД.4</t>
  </si>
  <si>
    <t>Голубкина Н. А., Лосева Т. А.</t>
  </si>
  <si>
    <t>978-5-00091-411-3</t>
  </si>
  <si>
    <t>00.02.37, 27.02.03</t>
  </si>
  <si>
    <t>Допущено Министерством образования РФ в качестве учебного пособия для студентов учреждений среднего профессионального образования</t>
  </si>
  <si>
    <t>Федеральный научный центр овощеводства</t>
  </si>
  <si>
    <t>684813.07.01</t>
  </si>
  <si>
    <t>Ландшафтная архитектура и дизайн...: Уч.пос. / Г.А.Потаев - М, НИЦ ИНФРА-М,2026 - 368 с.(П)</t>
  </si>
  <si>
    <t>ЛАНДШАФТНАЯ АРХИТЕКТУРА И ДИЗАЙН: ТРАДИЦИИ И ИННОВАЦИИ</t>
  </si>
  <si>
    <t>978-5-16-021441-2</t>
  </si>
  <si>
    <t>35.02.12, 43.01.11, 54.01.01, 54.01.06, 54.01.12, 54.01.20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</si>
  <si>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35.02.12 «Садово-парковое и ландшафтное строительство»</t>
  </si>
  <si>
    <t>682965.03.01</t>
  </si>
  <si>
    <t>Ландшафтная архитектура с основами проектир.: Уч.пос. / В.С.Теодоронский - 2 изд.-М.:Форум, НИЦ ИНФРА-М,2022-304с(П)</t>
  </si>
  <si>
    <t>ЛАНДШАФТНАЯ АРХИТЕКТУРА С ОСНОВАМИ ПРОЕКТИРОВАНИЯ, ИЗД.2</t>
  </si>
  <si>
    <t>Теодоронский В.С., Боговая И.О.</t>
  </si>
  <si>
    <t>978-5-00091-579-0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</si>
  <si>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35.02.12 "Садово-парковое и ландшафтное строительство" (протокол № 6 от 06.04.2020)</t>
  </si>
  <si>
    <t>682965.06.01</t>
  </si>
  <si>
    <t>Ландшафтная архитектура с основами проектир.: Уч.пос. / В.С.Теодоронский - 3 изд. - М.:НИЦ ИНФРА-М,2025 - 389 с(СПО)(п)</t>
  </si>
  <si>
    <t>ЛАНДШАФТНАЯ АРХИТЕКТУРА С ОСНОВАМИ ПРОЕКТИРОВАНИЯ, ИЗД.3</t>
  </si>
  <si>
    <t>978-5-16-019018-1</t>
  </si>
  <si>
    <t>682966.09.01</t>
  </si>
  <si>
    <t>Ландшафтное проектирование: Уч.пос. / Ю.В.Разумовский - 2 изд. - М.:НИЦ ИНФРА-М,2025. - 140 с.(СПО)(П)</t>
  </si>
  <si>
    <t>ЛАНДШАФТНОЕ ПРОЕКТИРОВАНИЕ, ИЗД.2</t>
  </si>
  <si>
    <t>Разумовский Ю.В., Фурсова Л.М., Теодоронский В.С.</t>
  </si>
  <si>
    <t>978-5-16-016772-5</t>
  </si>
  <si>
    <t>842430.01.01</t>
  </si>
  <si>
    <t>Латинский язык и основы проф. терминологии: Уч.пос. / Е.А.Грудева - М.:НИЦ ИНФРА-М,2025. - 194 с.(СПО)(п)</t>
  </si>
  <si>
    <t>ЛАТИНСКИЙ ЯЗЫК И ОСНОВЫ ПРОФЕССИОНАЛЬНОЙ ТЕРМИНОЛОГИИ</t>
  </si>
  <si>
    <t>Грудева Е.А.</t>
  </si>
  <si>
    <t>978-5-16-020387-4</t>
  </si>
  <si>
    <t>36.02.01</t>
  </si>
  <si>
    <t>Ставропольский государственный аграрный университет</t>
  </si>
  <si>
    <t>685010.06.01</t>
  </si>
  <si>
    <t>Лекарственные растения в декор. садоводстве: Уч.пос. / Е.Л.Маланкина - М.:НИЦ ИНФРА-М,2025-240 с.(СПО)(П)</t>
  </si>
  <si>
    <t>ЛЕКАРСТВЕННЫЕ РАСТЕНИЯ В ДЕКОРАТИВНОМ САДОВОДСТВЕ</t>
  </si>
  <si>
    <t>Маланкина Е.Л.</t>
  </si>
  <si>
    <t>978-5-16-014163-3</t>
  </si>
  <si>
    <t>35.01.19, 35.02.12</t>
  </si>
  <si>
    <t>728700.03.01</t>
  </si>
  <si>
    <t>Лесоведение: Уч. / А.С.Тихонов - М.:НИЦ ИНФРА-М,2025 - 348 с.(СПО)(П)</t>
  </si>
  <si>
    <t>ЛЕСОВЕДЕНИЕ</t>
  </si>
  <si>
    <t>Тихонов А.С.</t>
  </si>
  <si>
    <t>978-5-16-015897-6</t>
  </si>
  <si>
    <t>15.01.08, 35.01.01, 35.01.05, 35.01.25, 35.01.30, 35.02.01, 35.02.02, 35.02.14, 35.02.18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</si>
  <si>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35.02.01 «Лесное и лесопарковое хозяйство», 35.02.02 «Технология лесозаготовок» (протокол № 13 от 16.09.2019)</t>
  </si>
  <si>
    <t>Брянский государственный инженерно-технологический университет</t>
  </si>
  <si>
    <t>770564.05.01</t>
  </si>
  <si>
    <t>Лесозаготовительное производство: технологии...: Уч.пос. / С.В.Фокин - М.:НИЦ ИНФРА-М,2026 - 280 с.(СПО)(П)</t>
  </si>
  <si>
    <t>ЛЕСОЗАГОТОВИТЕЛЬНОЕ ПРОИЗВОДСТВО: ТЕХНОЛОГИИ И ОБОРУДОВАНИЕ</t>
  </si>
  <si>
    <t>978-5-16-017389-4</t>
  </si>
  <si>
    <t>15.01.08, 35.01.01, 35.01.05, 35.01.25, 35.01.28, 35.01.30, 35.02.01, 35.02.02, 35.02.18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</si>
  <si>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35.02.02 «Технология лесозаготовок» (протокол № 5 от 19.05.2021)</t>
  </si>
  <si>
    <t>758397.06.01</t>
  </si>
  <si>
    <t>Лечебная физ. культ. при заболеваниях людей...: Уч.пос. / Т.В.Карасева. - М.:НИЦ ИНФРА-М,2026. - 219 с.(П)</t>
  </si>
  <si>
    <t>ЛЕЧЕБНАЯ ФИЗИЧЕСКАЯ КУЛЬТУРА ПРИ ЗАБОЛЕВАНИЯХ ЛЮДЕЙ ПОЖИЛОГО ВОЗРАСТА</t>
  </si>
  <si>
    <t>Карасева Т.В., Махов А.С., Замогильнов А.И. и др.</t>
  </si>
  <si>
    <t>978-5-16-016983-5</t>
  </si>
  <si>
    <t>31.02.01, 49.02.01, 49.02.02, 49.02.03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</si>
  <si>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49.02.01 «Физическая культура», 49.02.02 «Адаптивная физическая культура», 31.02.01 «Лечебное дело» (протокол № 12 от 14.12.2020)</t>
  </si>
  <si>
    <t>Ивановский государственный университет</t>
  </si>
  <si>
    <t>758402.06.01</t>
  </si>
  <si>
    <t>Лечебная физ. культ. при заболеваниях нервной сис.: Уч.пос. / Т.В.Карасева - М.:НИЦ ИНФРА-М,2025 - 164 с.(П)</t>
  </si>
  <si>
    <t>ЛЕЧЕБНАЯ ФИЗИЧЕСКАЯ КУЛЬТУРА ПРИ ЗАБОЛЕВАНИЯХ НЕРВНОЙ СИСТЕМЫ</t>
  </si>
  <si>
    <t>Карасева Т.В., Махов А.С., Толстова С.Ю.</t>
  </si>
  <si>
    <t>978-5-16-016984-2</t>
  </si>
  <si>
    <t>31.02.01, 34.02.02, 49.02.01, 49.02.02, 49.02.03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</si>
  <si>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49.02.01 «Физическая культура», 49.02.02 «Адаптивная физическая культура» (протокол № 12 от 14.12.2020)</t>
  </si>
  <si>
    <t>758404.05.01</t>
  </si>
  <si>
    <t>Лечебная физ. культура при заболеваниях дет. возраста: Уч.пос. / Т.В.Карасева. - М.:НИЦ ИНФРА-М,2026. - 223 с.(П)</t>
  </si>
  <si>
    <t>ЛЕЧЕБНАЯ ФИЗИЧЕСКАЯ КУЛЬТУРА ПРИ ЗАБОЛЕВАНИЯХ ДЕТСКОГО ВОЗРАСТА</t>
  </si>
  <si>
    <t>978-5-16-016986-6</t>
  </si>
  <si>
    <t>31.02.01, 44.02.01, 49.02.01, 49.02.02, 49.02.03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</si>
  <si>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49.02.01 «Физическая культура», 49.02.02 «Адаптивная физическая культура» (протокол № 11 от 09.11.2020)</t>
  </si>
  <si>
    <t>758403.06.01</t>
  </si>
  <si>
    <t>Лечебная физ. культура при терапевт. заболеваниях: Уч.пос. / Т.В.Карасева. - М.:НИЦ ИНФРА-М,2026 -158 с.(П)</t>
  </si>
  <si>
    <t>ЛЕЧЕБНАЯ ФИЗИЧЕСКАЯ КУЛЬТУРА ПРИ ТЕРАПЕВТИЧЕСКИХ ЗАБОЛЕВАНИЯХ</t>
  </si>
  <si>
    <t>978-5-16-016985-9</t>
  </si>
  <si>
    <t>757844.07.01</t>
  </si>
  <si>
    <t>Лечебная физическая культура при травмах: Уч.пос. / Т.В.Карасева - М.:НИЦ ИНФРА-М,2026. - 140 с.(СПО)(П)</t>
  </si>
  <si>
    <t>ЛЕЧЕБНАЯ ФИЗИЧЕСКАЯ КУЛЬТУРА ПРИ ТРАВМАХ</t>
  </si>
  <si>
    <t>978-5-16-016938-5</t>
  </si>
  <si>
    <t>339900.07.01</t>
  </si>
  <si>
    <t>Лечение пациентов терапевтич. профиля: Уч.пос. / В.Г.Лычев - М.:Форум, НИЦ ИНФРА-М,2025 - 400 с.(СПО)(П)</t>
  </si>
  <si>
    <t>ЛЕЧЕНИЕ ПАЦИЕНТОВ ТЕРАПЕВТИЧЕСКОГО ПРОФИЛЯ</t>
  </si>
  <si>
    <t>Лычев В.Г., Карманов В.К.</t>
  </si>
  <si>
    <t>978-5-00091-618-6</t>
  </si>
  <si>
    <t>31.02.01, 34.02.01</t>
  </si>
  <si>
    <t>Рекомендовано в качестве учебного пособия для студентов учреждений среднего профессионального образования, обучающихся по специальности 31.02.01 «Лечебное дело»</t>
  </si>
  <si>
    <t>Алтайский государственный медицинский университет</t>
  </si>
  <si>
    <t>786287.01.01</t>
  </si>
  <si>
    <t>Линейное программирование: Уч.пос. / А.С.Шевченко-М.:НИЦ ИНФРА-М,2024.-253 с.(СПО)(п)</t>
  </si>
  <si>
    <t>ЛИНЕЙНОЕ ПРОГРАММИРОВАНИЕ</t>
  </si>
  <si>
    <t>Шевченко А.С.</t>
  </si>
  <si>
    <t>978-5-16-017949-0</t>
  </si>
  <si>
    <t>00.02.06, 09.02.01, 09.02.02, 09.02.03, 09.02.04, 09.02.05, 09.02.06, 09.02.07, 15.01.18, 35.02.10, 35.02.16, 38.02.03</t>
  </si>
  <si>
    <t>Югорский государственный университет</t>
  </si>
  <si>
    <t>СПО-2022, Победитель, II место</t>
  </si>
  <si>
    <t>701998.02.01</t>
  </si>
  <si>
    <t>Литература народов России: Уч.пос. / Под ред. Хайруллина Р.З. - М.:НИЦ ИНФРА-М,2022 - 395 с.(СПО)(П)</t>
  </si>
  <si>
    <t>ЛИТЕРАТУРА НАРОДОВ РОССИИ</t>
  </si>
  <si>
    <t>Хайруллин Р.З., Зайцева Т.И., Алибаев З.А. и др.</t>
  </si>
  <si>
    <t>978-5-16-014814-4</t>
  </si>
  <si>
    <t>00.02.09, 51.02.02, 51.02.03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</si>
  <si>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группе гуманитарных специальностей (протокол № 8 от 29.04.2019)</t>
  </si>
  <si>
    <t>Российский новый университет</t>
  </si>
  <si>
    <t>732045.03.01</t>
  </si>
  <si>
    <t>Логика для юристов: Уч. / Е.А.Кротков - М.:НИЦ ИНФРА-М,2025 - 210 с.(СПО)(П)</t>
  </si>
  <si>
    <t>ЛОГИКА ДЛЯ ЮРИСТОВ</t>
  </si>
  <si>
    <t>Кротков Е.А.</t>
  </si>
  <si>
    <t>978-5-16-015997-3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</si>
  <si>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40.02.00 «Юриспруденция» (протокол № 18 от 25.11.2019)</t>
  </si>
  <si>
    <t>Белгородский государственный национальный исследовательский университет</t>
  </si>
  <si>
    <t>845257.02.01</t>
  </si>
  <si>
    <t>Логика для юристов: Уч.пос. / С.В.Корнакова - 2 изд. - М.:НИЦ ИНФРА-М,2025 - 179 с.(СПО)(п)</t>
  </si>
  <si>
    <t>ЛОГИКА ДЛЯ ЮРИСТОВ, ИЗД.2</t>
  </si>
  <si>
    <t>Корнакова С.В., Сергеева О.С.</t>
  </si>
  <si>
    <t>978-5-16-020459-8</t>
  </si>
  <si>
    <t>Байкальский государственный университет</t>
  </si>
  <si>
    <t>688077.02.01</t>
  </si>
  <si>
    <t>Логика: Уч. / В.И.Кириллов, - 3 изд. - М.:Юр.Норма, НИЦ ИНФРА-М,2026. - 240 с.(СПО)(п)</t>
  </si>
  <si>
    <t>ЛОГИКА, ИЗД.3</t>
  </si>
  <si>
    <t>Кириллов В.И.</t>
  </si>
  <si>
    <t>978-5-00156-379-2</t>
  </si>
  <si>
    <t>Философия</t>
  </si>
  <si>
    <t>Российский университет медицины</t>
  </si>
  <si>
    <t>842426.03.01</t>
  </si>
  <si>
    <t>Логистика производства: Уч.пос. / В.И.Степанов - М.:НИЦ ИНФРА-М,2026. - 200 с.(СПО)(п)</t>
  </si>
  <si>
    <t>ЛОГИСТИКА ПРОИЗВОДСТВА</t>
  </si>
  <si>
    <t>Степанов В.И.</t>
  </si>
  <si>
    <t>978-5-16-020340-9</t>
  </si>
  <si>
    <t>08.02.01, 08.02.08, 23.02.02, 38.02.08</t>
  </si>
  <si>
    <t>084500.13.01</t>
  </si>
  <si>
    <t>Логистика: Уч. / В.А.Галанов - 2 изд. - М.:Форум, НИЦ ИНФРА-М,2026. - 272 с.(ПО)(о)</t>
  </si>
  <si>
    <t>ЛОГИСТИКА, ИЗД.2</t>
  </si>
  <si>
    <t>Галанов В. А.</t>
  </si>
  <si>
    <t>978-5-91134-906-6</t>
  </si>
  <si>
    <t>08.02.01, 08.02.08, 38.02.03, 38.02.08</t>
  </si>
  <si>
    <t>Допущено Мин. обр. и науки РФ в качестве учебника для студентов учреждений среднего профессионального образования</t>
  </si>
  <si>
    <t>062900.19.01</t>
  </si>
  <si>
    <t>Логистика: Уч.пос. / А.А.Канке - 2 изд. - М.:ИД Форум, НИЦ ИНФРА-М,2024 - 384 с.-(СПО)(П)</t>
  </si>
  <si>
    <t>Канке А. А., Кошевая И. П.</t>
  </si>
  <si>
    <t>978-5-8199-0930-0</t>
  </si>
  <si>
    <t>08.02.01, 08.02.08, 38.02.01, 38.02.03, 38.02.08</t>
  </si>
  <si>
    <t>Рекомендовано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специальностям «Менеджмент (по отраслям)», «Маркетинг (по отраслям)», «Коммерция (по отраслям)»</t>
  </si>
  <si>
    <t>062900.18.01</t>
  </si>
  <si>
    <t>Логистика: Уч.пос. / А.А.Канке, - 3 изд. - М.:НИЦ ИНФРА-М,2025. - 493 с. - (СПО)(п)</t>
  </si>
  <si>
    <t>ЛОГИСТИКА, ИЗД.3</t>
  </si>
  <si>
    <t>Канке А.А., Ковалева И.А.</t>
  </si>
  <si>
    <t>978-5-16-018261-2</t>
  </si>
  <si>
    <t>707355.03.01</t>
  </si>
  <si>
    <t>Логистика: Уч.пос. / О.А.Александров - М.:НИЦ ИНФРА-М,2023 - 217 с.-(СПО)(п)</t>
  </si>
  <si>
    <t>ЛОГИСТИКА</t>
  </si>
  <si>
    <t>Александров О.А.</t>
  </si>
  <si>
    <t>978-5-16-015154-0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</si>
  <si>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6 от 25.03.2019)</t>
  </si>
  <si>
    <t>Московский региональный социально-экономический институт</t>
  </si>
  <si>
    <t>730178.06.01</t>
  </si>
  <si>
    <t>Логопедическая раб. с детьми с задержкой психич. развит.: Уч.мет.пос. / В.В.Морозова-М.:НИЦ ИНФРА-М,2024.-48с(О)</t>
  </si>
  <si>
    <t>ЛОГОПЕДИЧЕСКАЯ РАБОТА С ДЕТЬМИ С ЗАДЕРЖКОЙ ПСИХИЧЕСКОГО РАЗВИТИЯ</t>
  </si>
  <si>
    <t>Морозова В.В.</t>
  </si>
  <si>
    <t>978-5-16-015934-8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</si>
  <si>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44.02.04 «Специальное дошкольное образование», 44.02.05 «Коррекционная педагогика в начальном образовании» (протокол № 14 от 30.09.2019)</t>
  </si>
  <si>
    <t>Ленинградский государственный университет им. А.С. Пушкина</t>
  </si>
  <si>
    <t>719889.06.01</t>
  </si>
  <si>
    <t>Логопедия. Дизорфография: Уч.пос. / О.И.Азова - М.:НИЦ ИНФРА-М,2025 - 180 с.-(СПО)(о)</t>
  </si>
  <si>
    <t>ЛОГОПЕДИЯ. ДИЗОРФОГРАФИЯ</t>
  </si>
  <si>
    <t>Азова О.И.</t>
  </si>
  <si>
    <t>978-5-16-015655-2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</si>
  <si>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 44.02.05 «Коррекционная педагогика в начальном образовании» (протокол № 8 от 22.06.2020)</t>
  </si>
  <si>
    <t>МПСУ ОАНО ВО</t>
  </si>
  <si>
    <t>701130.01.01</t>
  </si>
  <si>
    <t>Логопедия: методика..: Уч. / Под ред. Микляевой Н.В. - М.:НИЦ ИНФРА-М,2025. - 313 с.(СПО)(п)</t>
  </si>
  <si>
    <t>ЛОГОПЕДИЯ: МЕТОДИКА И ТЕХНОЛОГИИ РАЗВИТИЯ РЕЧИ ДОШКОЛЬНИКОВ</t>
  </si>
  <si>
    <t>Антипова Ж.В., Давидович Л.Р., Дианова О.Н. и др.</t>
  </si>
  <si>
    <t>978-5-16-014789-5</t>
  </si>
  <si>
    <t>Рекомендовано Учебно-методическим советом СПО в качестве учебника учебного пособия для студентов учебных заведений, реализующих программу среднего профессионального образования по  специальност (и) (ям) 44.02.01 Дошкольное образование,  44.02.03 Педагогика дополнительного образования, 44.02.04 Специальное дошкольное образование</t>
  </si>
  <si>
    <t>757824.04.01</t>
  </si>
  <si>
    <t>Маневрирование и управление судном: Уч.мет.пос.: В 2 ч.Ч.1 / В.И.Носенко - М.:НИЦ ИНФРА-М,2025 - 240 с.(П)</t>
  </si>
  <si>
    <t>МАНЕВРИРОВАНИЕ И УПРАВЛЕНИЕ СУДНОМ, Т.1</t>
  </si>
  <si>
    <t>Носенко В.И., Сухина М.И., Наумов М.В. и др.</t>
  </si>
  <si>
    <t>978-5-16-016918-7</t>
  </si>
  <si>
    <t>26.01.07, 26.01.09, 26.02.01, 26.02.03, 26.02.04, 26.02.05, 26.02.06, 35.01.32, 43.01.04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</si>
  <si>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26.02.03 «Судовождение» (протокол № 11 от 09.11.2020)</t>
  </si>
  <si>
    <t>757827.04.01</t>
  </si>
  <si>
    <t>Маневрирование и управление судном: Ч 2: Уч.мет.пос. / В.И.Носенко - М.:НИЦ ИНФРА-М,2026 - 304 с.(СПО)(П)</t>
  </si>
  <si>
    <t>МАНЕВРИРОВАНИЕ И УПРАВЛЕНИЕ СУДНОМ, Т.2</t>
  </si>
  <si>
    <t>978-5-16-016920-0</t>
  </si>
  <si>
    <t>26.01.07, 26.01.09, 26.02.01, 26.02.03, 26.02.05, 26.02.06, 35.01.32, 43.01.04</t>
  </si>
  <si>
    <t>842369.01.01</t>
  </si>
  <si>
    <t>Маркетинг в общественном питании: Уч. / Е.С.Григорян. - М.:НИЦ ИНФРА-М,2025. - 352 с.(СПО)(п)</t>
  </si>
  <si>
    <t>МАРКЕТИНГ В ОБЩЕСТВЕННОМ ПИТАНИИ</t>
  </si>
  <si>
    <t>Григорян Е.С., Пиканина Г.Т., Соколова Е.А.</t>
  </si>
  <si>
    <t>978-5-16-020322-5</t>
  </si>
  <si>
    <t>19.02.10, 38.02.08, 43.02.01</t>
  </si>
  <si>
    <t>Военная академия материально-технического обеспечения им. генерала армии А.В. Хрулёва, ф-л г. Пенза</t>
  </si>
  <si>
    <t>682968.06.01</t>
  </si>
  <si>
    <t>Маркетинг в туризме: Уч. / Под ред. Богданова Е.И. - М.:НИЦ ИНФРА-М,2025 - 214 с.(СПО)(П)</t>
  </si>
  <si>
    <t>МАРКЕТИНГ В ТУРИЗМЕ</t>
  </si>
  <si>
    <t>Абабков Ю.Н., Абабкова М.Ю., Филиппова И.Г. и др.</t>
  </si>
  <si>
    <t>978-5-16-013962-3</t>
  </si>
  <si>
    <t>719420.02.01</t>
  </si>
  <si>
    <t>Маркетинг гостиничного предприятия: Уч.пос. / И.С.Ключевская - М.:НИЦ ИНФРА-М,2022 - 236 с.-(СПО)(П)</t>
  </si>
  <si>
    <t>МАРКЕТИНГ ГОСТИНИЧНОГО ПРЕДПРИЯТИЯ</t>
  </si>
  <si>
    <t>Ключевская И.С.</t>
  </si>
  <si>
    <t>978-5-16-015631-6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</si>
  <si>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43.02.11 «Гостиничный сервис» (протокол № 12 от 24.06.2019)</t>
  </si>
  <si>
    <t>096300.13.01</t>
  </si>
  <si>
    <t>Маркетинг рекламы: Уч.пос. / М.А.Блюм и др., - 2 изд.-М.:Форум, НИЦ ИНФРА-М,2024.-144 с.(СПО)(о)</t>
  </si>
  <si>
    <t>МАРКЕТИНГ РЕКЛАМЫ, ИЗД.2</t>
  </si>
  <si>
    <t>Блюм М.А., Герасимов Б.И., Молоткова Н.В.</t>
  </si>
  <si>
    <t>978-5-00091-692-6</t>
  </si>
  <si>
    <t>684818.04.01</t>
  </si>
  <si>
    <t>Маркетинг розничного торгового предприятия: Уч.пос./ Г.А.Васильев - М.:Вуз. уч., НИЦ ИНФРА-М,2025 - 159 с.(П)</t>
  </si>
  <si>
    <t>МАРКЕТИНГ РОЗНИЧНОГО ТОРГОВОГО ПРЕДПРИЯТИЯ</t>
  </si>
  <si>
    <t>Васильев Г.А., Романов А.А., Поляков В.А.</t>
  </si>
  <si>
    <t>978-5-9558-0628-0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</si>
  <si>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38.02.04 «Коммерция (по отраслям)» (протокол № 8 от 20.10.2021)</t>
  </si>
  <si>
    <t>095160.16.01</t>
  </si>
  <si>
    <t>Маркетинг товаров и услуг: Уч.пос. / А.В.Лукина, - 2 изд.-М.:Форум, НИЦ ИНФРА-М,2024.-239 с.(СПО)(П)</t>
  </si>
  <si>
    <t>МАРКЕТИНГ ТОВАРОВ И УСЛУГ, ИЗД.2</t>
  </si>
  <si>
    <t>Лукина А. В.</t>
  </si>
  <si>
    <t>978-5-00091-686-5</t>
  </si>
  <si>
    <t>38.02.01, 38.02.02, 38.02.03, 38.02.06, 38.02.07, 38.02.08, 51.02.03</t>
  </si>
  <si>
    <t>Допущено Министерством образования РФ в качестве учебного пособия для студентов учреждений среднего специального образования, обучающихся по группе специальностей «Экономика и управление»</t>
  </si>
  <si>
    <t>120050.11.01</t>
  </si>
  <si>
    <t>Маркетинг туризма: Уч. пос. / Е.Н. Кнышова. - М.: ИД ФОРУМ: ИНФРА-М, 2025. - 352 с.(ПО) (п)</t>
  </si>
  <si>
    <t>МАРКЕТИНГ ТУРИЗМА</t>
  </si>
  <si>
    <t>Кнышова Е. Н.</t>
  </si>
  <si>
    <t>978-5-8199-0407-7</t>
  </si>
  <si>
    <t>Допущено Министерством образования Российской Федерации в качестве учебного пособия для студентов образовательных учреждений среднего профессионального образования</t>
  </si>
  <si>
    <t>707549.03.01</t>
  </si>
  <si>
    <t>Маркетинг: Уч. / Н.В.Дмитриева - М.:ИЦ РИОР, НИЦ ИНФРА-М, 2023.-240 с.(СПО)(П)</t>
  </si>
  <si>
    <t>МАРКЕТИНГ</t>
  </si>
  <si>
    <t>Дмитриева Н.В., Габинская О.С.</t>
  </si>
  <si>
    <t>978-5-369-01811-8</t>
  </si>
  <si>
    <t>00.02.38, 38.02.01, 38.02.08</t>
  </si>
  <si>
    <t>Российский экономический университет им. Г.В. Плеханова, Кемеровский институт ф-л</t>
  </si>
  <si>
    <t>071450.17.01</t>
  </si>
  <si>
    <t>Маркетинг: Уч.пос. / А.В.Лукина - 3 изд. - М.:Форум, НИЦ ИНФРА-М,2026 - 238 с.(СПО)(П)</t>
  </si>
  <si>
    <t>МАРКЕТИНГ, ИЗД.3</t>
  </si>
  <si>
    <t>Лукина А.В.</t>
  </si>
  <si>
    <t>978-5-00091-694-0</t>
  </si>
  <si>
    <t>Допущено Министерством образования и науки РФ в качестве учебного пособия для студентов учреждений среднего профессионального образования, обучающихся по группе специальностей «Экономика и управление»</t>
  </si>
  <si>
    <t>097750.09.01</t>
  </si>
  <si>
    <t>Маркетинг: Уч.пос. / Б.И.Герасимов и др., - 2 изд.-М.:НИЦ ИНФРА-М,2024.-320 с.(СПО)(п)</t>
  </si>
  <si>
    <t>МАРКЕТИНГ, ИЗД.2</t>
  </si>
  <si>
    <t>Герасимов Б. И., Жариков В. В., Жарикова М. В.</t>
  </si>
  <si>
    <t>978-5-16-018783-9</t>
  </si>
  <si>
    <t>38.02.01, 38.02.03, 38.02.06, 38.02.08, 51.02.03</t>
  </si>
  <si>
    <t>Рекомендовано методическим советом Учебно-методического центра по профессиональному образованию Департамента образования города Москвы в качестве учебного пособия для студентов образовательных учреждений среднего профессионального образования</t>
  </si>
  <si>
    <t>0216</t>
  </si>
  <si>
    <t>144200.06.01</t>
  </si>
  <si>
    <t>Маркетинг: Уч.пос. / В.А.Морошкин и др.-М.:Форум,2024.-352 с.(ПО) (П)</t>
  </si>
  <si>
    <t>Морошкин В.А., Контарева Н.А., Курганова Н.Ю.</t>
  </si>
  <si>
    <t>978-5-91134-432-0</t>
  </si>
  <si>
    <t>Рекомендовано методическим советом Учебно-методического центра по профессиональному образованию Департамента образования г. Москвы в качестве учебного пособия для студентов образовательных учреждений среднего профессионального образования.</t>
  </si>
  <si>
    <t>753715.02.01</t>
  </si>
  <si>
    <t>Маркетинг: Уч.пос. / Г.А.Резник - 4 изд. - М.:НИЦ ИНФРА-М,2023 - 199 с.-(СПО)(п)</t>
  </si>
  <si>
    <t>МАРКЕТИНГ, ИЗД.4</t>
  </si>
  <si>
    <t>Резник Г.А.</t>
  </si>
  <si>
    <t>978-5-16-018914-7</t>
  </si>
  <si>
    <t>38.02.01, 38.02.03, 38.02.08, 51.02.03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</si>
  <si>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экономическим специальностям (протокол № 12 от 14.12.2020)</t>
  </si>
  <si>
    <t>Пензенский государственный университет архитектуры и строительства</t>
  </si>
  <si>
    <t>0423</t>
  </si>
  <si>
    <t>753715.01.01</t>
  </si>
  <si>
    <t>Маркетинг: Уч.пос. / Г.А.Резник - М.:НИЦ ИНФРА-М,2021 - 199 с.(СПО)(П)</t>
  </si>
  <si>
    <t>978-5-16-016833-3</t>
  </si>
  <si>
    <t>844475.01.01</t>
  </si>
  <si>
    <t>Маркетинг: Уч.пос. / Л.Е.Басовский - 3 изд. - М.:НИЦ ИНФРА-М,2025 - 233 с.(СПО)(п)</t>
  </si>
  <si>
    <t>Басовский Л.Е., Басовская Е.Н.</t>
  </si>
  <si>
    <t>978-5-16-020419-2</t>
  </si>
  <si>
    <t>09.02.02, 11.02.12, 21.02.20, 27.02.02, 38.01.01, 38.02.01, 38.02.02, 38.02.03, 38.02.06, 38.02.07, 38.02.08, 43.02.04, 43.02.06, 51.02.02</t>
  </si>
  <si>
    <t>100850.10.01</t>
  </si>
  <si>
    <t>Маркетинговые исследования рынка: Уч. пос./Б.И.Герасимов - 2 изд. - М.:Форум:ИНФРА-М, 2024-336с.(ПО) (о)</t>
  </si>
  <si>
    <t>МАРКЕТИНГОВЫЕ ИССЛЕДОВАНИЯ РЫНКА, ИЗД.2</t>
  </si>
  <si>
    <t>Герасимов Б. И., Мозгов Н. Н.</t>
  </si>
  <si>
    <t>978-5-91134-811-3</t>
  </si>
  <si>
    <t>38.02.01, 38.02.02, 38.02.03, 38.02.08</t>
  </si>
  <si>
    <t>Рекомендовано Методическим советом Учебно-метод. центра по проф. обр. Департамента обр. г. Москвы в качестве учебного пос. для студентов обр. учреждений среднего проф. образования</t>
  </si>
  <si>
    <t>741773.01.01</t>
  </si>
  <si>
    <t>Маркетинговые коммуникации: Уч. / Е.С.Григорян - М.:НИЦ ИНФРА-М,2021 - 294 с.-(СПО)(П)</t>
  </si>
  <si>
    <t>МАРКЕТИНГОВЫЕ КОММУНИКАЦИИ</t>
  </si>
  <si>
    <t>Григорян Е.С.</t>
  </si>
  <si>
    <t>978-5-16-016384-0</t>
  </si>
  <si>
    <t>38.02.01, 38.02.08, 42.02.01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</si>
  <si>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38.02.04 "Коммерция (по отраслям)"  (протокол № 7 от 08.06.2020)</t>
  </si>
  <si>
    <t>684808.06.01</t>
  </si>
  <si>
    <t>Маркетри и инкрустация (искус...): Уч.пос. / А.С.Хворостов - М.:Форум, НИЦ ИНФРА-М,2025. - 223, [24] с.:цв.ил.(СПО)(П)</t>
  </si>
  <si>
    <t>МАРКЕТРИ И ИНКРУСТАЦИЯ (ИСКУССТВО И ТЕХНОЛОГИЯ)</t>
  </si>
  <si>
    <t>Хворостов А.С., Хворостов Д.А.</t>
  </si>
  <si>
    <t>978-5-00091-590-5</t>
  </si>
  <si>
    <t>35.01.28, 38.02.02, 42.02.01, 43.02.02, 52.02.03, 52.02.04, 52.02.05, 54.01.01, 54.01.05, 54.02.01, 54.02.02, 54.02.03, 54.02.04, 54.02.06, 54.02.08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</si>
  <si>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художественно-графическим специальностям (протокол № 12 от 24.06.2019)</t>
  </si>
  <si>
    <t>726494.07.01</t>
  </si>
  <si>
    <t>Математика в нач. школе: методика обуч.: Уч. / А.В.Белошистая - М .:НИЦ ИНФРА-М,2026 - 316 с.(СПО)(П)</t>
  </si>
  <si>
    <t>МАТЕМАТИКА В НАЧАЛЬНОЙ ШКОЛЕ: МЕТОДИКА ОБУЧЕНИЯ</t>
  </si>
  <si>
    <t>Белошистая А.В.</t>
  </si>
  <si>
    <t>978-5-16-015926-3</t>
  </si>
  <si>
    <t>15.02.16, 44.02.02, 44.02.04, 44.02.05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</si>
  <si>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44.02.02 «Преподавание в начальных классах» (протокол № 10 от 12.10.2020)</t>
  </si>
  <si>
    <t>Мурманский арктический университет</t>
  </si>
  <si>
    <t>086850.13.01</t>
  </si>
  <si>
    <t>Математика для воспитателей: Уч. / Н.И.Фрейлах, - 2 изд. - М.:НИЦ ИНФРА-М,2025. - 136 с.(О)</t>
  </si>
  <si>
    <t>МАТЕМАТИКА ДЛЯ ВОСПИТАТЕЛЕЙ, ИЗД.2</t>
  </si>
  <si>
    <t>Фрейлах Н. И.</t>
  </si>
  <si>
    <t>978-5-16-018090-8</t>
  </si>
  <si>
    <t>15.02.16, 43.02.06, 44.02.01, 44.02.02, 44.02.03, 44.02.04, 44.02.05, 49.02.02, 51.02.03</t>
  </si>
  <si>
    <t>Допущено Министерством образования и науки Российской Федерации в качестве учебника для студентов учреждений среднего профессионального образования</t>
  </si>
  <si>
    <t>408050.06.01</t>
  </si>
  <si>
    <t>Математика. Линейная алгебра: Уч.пос. / Под ред. Расулова К.М. - М.:Форум, НИЦ ИНФРА-М,2025. - 144 с.(СПО)(О)</t>
  </si>
  <si>
    <t>МАТЕМАТИКА. ЛИНЕЙНАЯ АЛГЕБРА</t>
  </si>
  <si>
    <t>Расулов К.М., Гомонов С.А., Расулов К.М.</t>
  </si>
  <si>
    <t>978-5-91134-713-0</t>
  </si>
  <si>
    <t>09.02.01, 09.02.05, 09.02.06, 09.02.07, 09.02.08, 09.02.09, 11.02.11, 44.02.02, 44.02.05, 44.02.06, 09.02.10</t>
  </si>
  <si>
    <t>Смоленский государственный университет</t>
  </si>
  <si>
    <t>640311.10.01</t>
  </si>
  <si>
    <t>Математика. Элементы высшей матем.: Уч.: В 2 т.Т.1 / В.В.Бардушкин - М.:КУРС,НИЦ ИНФРА-М,2026 - 304 с.(СПО)(П)</t>
  </si>
  <si>
    <t>МАТЕМАТИКА. ЭЛЕМЕНТЫ ВЫСШЕЙ МАТЕМАТИКИ, Т.1</t>
  </si>
  <si>
    <t>Бардушкин В.В., Прокофьев А.А.</t>
  </si>
  <si>
    <t>978-5-906923-05-9</t>
  </si>
  <si>
    <t>00.02.06, 09.02.01, 09.02.05, 09.02.06, 09.02.07, 09.02.08, 09.02.09, 21.02.13, 26.02.04, 35.02.11, 09.02.10</t>
  </si>
  <si>
    <t>657352.10.01</t>
  </si>
  <si>
    <t>Математика. Элементы высшей матем.: Уч.: В 2 т.Т.2 /В.В.Бардушкин - М.:КУРС, НИЦ ИНФРА-М,2026 - 368 с.(СПО) (П)</t>
  </si>
  <si>
    <t>МАТЕМАТИКА. ЭЛЕМЕНТЫ ВЫСШЕЙ МАТЕМАТИКИ, Т.2</t>
  </si>
  <si>
    <t>978-5-906923-34-9</t>
  </si>
  <si>
    <t>00.02.06, 09.02.01, 09.02.02, 09.02.03, 09.02.04, 09.02.05, 09.02.07, 21.02.13, 26.02.04, 35.02.11</t>
  </si>
  <si>
    <t>043500.29.01</t>
  </si>
  <si>
    <t>Математика: Уч. / А.А.Дадаян - 3 изд. - М.:НИЦ ИНФРА-М,2024 - 544 с.(СПО)(П)</t>
  </si>
  <si>
    <t>МАТЕМАТИКА, ИЗД.3</t>
  </si>
  <si>
    <t>Дадаян А.А.</t>
  </si>
  <si>
    <t>978-5-16-012592-3</t>
  </si>
  <si>
    <t>00.02.06, 08.02.02, 08.02.03, 08.02.08, 08.02.09, 08.02.14, 08.02.15, 10.02.04, 10.02.05, 11.02.03, 11.02.06, 11.02.16, 12.02.04, 13.02.02, 13.02.07, 15.02.09, 15.02.10, 15.02.17, 15.02.18, 18.02.13, 18.02.15, 21.02.02, 21.02.09, 21.02.10, 21.02.13, 21.02.19, 21.02.20, 23.02.07, 23.02.08, 24.02.01, 24.02.04, 25.02.06, 25.02.07, 25.02.08, 26.02.04, 26.02.05, 27.02.03, 29.02.02, 29.02.05, 38.02.06, 43.02.06, 43.02.07, 49.02.02, 52.02.01, 52.02.02, 53.02.02, 54.02.01, 54.02.03, 49.02.03, 35.02.19</t>
  </si>
  <si>
    <t>Рекомендовано Министерством образования и науки Российской Федерации в качестве учебника для студентов образовательных учреждений среднего профессионального образования</t>
  </si>
  <si>
    <t>769299.04.01</t>
  </si>
  <si>
    <t>Математика: Уч. / В.П.Омельченко - М.:НИЦ ИНФРА-М,2025. - 349 с.(СПО)(П)</t>
  </si>
  <si>
    <t>МАТЕМАТИКА</t>
  </si>
  <si>
    <t>Омельченко В.П., Карасенко Н.В.</t>
  </si>
  <si>
    <t>978-5-16-017462-4</t>
  </si>
  <si>
    <t>00.02.06, 08.02.01, 09.02.07, 11.02.15, 13.02.02, 13.02.07, 15.02.16, 23.02.08, 26.02.02, 27.02.03, 29.02.05, 33.02.01, 38.02.01, 38.02.06, 38.02.07, 38.02.08, 43.02.02, 44.02.02, 51.02.03, 49.02.03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</si>
  <si>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основную программу среднего профессионального образования (протокол № 5 от 11.05.2022)</t>
  </si>
  <si>
    <t>690282.05.01</t>
  </si>
  <si>
    <t>Математика: Уч. / Н.С.Юхно - М.:НИЦ ИНФРА-М,2024 - 204 с.-(СПО)(П)</t>
  </si>
  <si>
    <t>Юхно Н.С.</t>
  </si>
  <si>
    <t>978-5-16-014744-4</t>
  </si>
  <si>
    <t>00.02.06, 13.02.13, 23.02.03, 27.02.06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</si>
  <si>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основную профессиональную программу среднего профессионального образования на базе основного общего образования (протокол № 10 от 12.10.2020)</t>
  </si>
  <si>
    <t>692926.04.01</t>
  </si>
  <si>
    <t>Математика: Уч.пос. / Л.И.Шипова - М.:НИЦ ИНФРА-М,2019 - 238 с.-(СПО)(П)</t>
  </si>
  <si>
    <t>Шипова Л.И., Шипов А.Е.</t>
  </si>
  <si>
    <t>978-5-16-014561-7</t>
  </si>
  <si>
    <t>07.02.01, 08.02.01, 08.02.03, 08.02.12, 35.02.12</t>
  </si>
  <si>
    <t>Допущено Региональным научно-методическим центром при Совете директоров средних специальных заведений Санкт-Петербурга и Ленинградской области в качестве учебного пособия для студентов второго курса среднего профессионального образования, обучающихся по специальностям: 08.02.01, 07.02.01, 08.02.03, 08.02.06, 35.02.12</t>
  </si>
  <si>
    <t>Академия управления городской средой, градостроительства и печати</t>
  </si>
  <si>
    <t>719223.02.01</t>
  </si>
  <si>
    <t>Математическая логика: Уч.пос. / В.И.Игошин - М.:НИЦ ИНФРА-М,2023 - 399 с.-(СПО)(П)</t>
  </si>
  <si>
    <t>МАТЕМАТИЧЕСКАЯ ЛОГИКА</t>
  </si>
  <si>
    <t>Игошин В.И.</t>
  </si>
  <si>
    <t>978-5-16-015595-1</t>
  </si>
  <si>
    <t>08.02.15, 09.02.02, 09.02.03, 09.02.04, 09.02.06, 09.02.07, 09.02.09, 11.02.03, 11.02.06, 13.02.07, 13.02.12, 15.02.10, 18.02.04, 18.02.10, 18.02.12, 18.02.14, 18.02.15, 20.02.01, 21.02.02, 21.02.09, 21.02.10, 21.02.19, 21.02.20, 24.02.01, 24.02.02, 35.02.09, 35.02.16, 35.02.17, 09.02.10, 35.02.19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</si>
  <si>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(протокол № 12 от 24.06.2019)</t>
  </si>
  <si>
    <t>075550.15.01</t>
  </si>
  <si>
    <t>Математические методы в программир.: Уч. / В.П.Агальцов - 2 изд. - М.:ИД Форум, НИЦ ИНФРА-М,2025 - 240 с.(СПО)(П)</t>
  </si>
  <si>
    <t>МАТЕМАТИЧЕСКИЕ МЕТОДЫ В ПРОГРАММИРОВАНИИ, ИЗД.2</t>
  </si>
  <si>
    <t>Агальцов В.П.</t>
  </si>
  <si>
    <t>978-5-8199-0410-7</t>
  </si>
  <si>
    <t>09.02.01, 10.02.04, 10.02.05, 38.02.03</t>
  </si>
  <si>
    <t>Рекомендовано Министерством образования Российской Федерации в качестве учебника для студентов учреждений среднего профессионального образования, обучающихся по группе специальностей «Информатика и вычислительная техника»</t>
  </si>
  <si>
    <t>719810.05.01</t>
  </si>
  <si>
    <t>Математическое моделир. и проектир.: Уч.пос. / Под ред. Коломейченко А.С. - М.:НИЦ ИНФРА-М,2025 - 181с.(СПО)(П)</t>
  </si>
  <si>
    <t>МАТЕМАТИЧЕСКОЕ МОДЕЛИРОВАНИЕ И ПРОЕКТИРОВАНИЕ</t>
  </si>
  <si>
    <t>Коломейченко А.С., Кравченко И.Н., Ставцев А.Н. и др.</t>
  </si>
  <si>
    <t>978-5-16-015651-4</t>
  </si>
  <si>
    <t>35.02.16, 38.02.01, 38.02.03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</si>
  <si>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35.02.05 «Агрономия» (протокол № 12 от 24.06.2019)</t>
  </si>
  <si>
    <t>Орловский государственный аграрный университет им. Н.В. Парахина</t>
  </si>
  <si>
    <t>682969.07.01</t>
  </si>
  <si>
    <t>Материаловедение (дизайн костюма): Уч. / Е.А.Кирсанова - М.:Вуз.уч.,НИЦ ИНФРА-М,2025 - 395с(СПО)(П)</t>
  </si>
  <si>
    <t>МАТЕРИАЛОВЕДЕНИЕ (ДИЗАЙН КОСТЮМА)</t>
  </si>
  <si>
    <t>Кирсанова Е.А., Шустов Ю.С., Куличенко А.В. и др.</t>
  </si>
  <si>
    <t>978-5-9558-0647-1</t>
  </si>
  <si>
    <t>43.01.11, 54.01.06, 54.01.12, 54.02.01, 54.02.03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</si>
  <si>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54.02.01 «Дизайн (по отраслям)», 54.02.02 «Декоративно-прикладное искусство и народные промыслы (по видам)», 54.02.03 «Художественное оформление изделий текстильной и легкой промышленности»</t>
  </si>
  <si>
    <t>682970.08.01</t>
  </si>
  <si>
    <t>Материаловедение в машиностроении: Уч.пос. / В.П.Дмитренко - М.:НИЦ ИНФРА-М,2026 - 432 с.-(СПО)(П)</t>
  </si>
  <si>
    <t>МАТЕРИАЛОВЕДЕНИЕ В МАШИНОСТРОЕНИИ</t>
  </si>
  <si>
    <t>Дмитренко В.П., Мануйлова Н.Б.</t>
  </si>
  <si>
    <t>978-5-16-014356-9</t>
  </si>
  <si>
    <t>15.02.01, 15.02.03, 15.02.04, 15.02.06, 15.02.09, 15.02.16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</si>
  <si>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15.02.01 «Монтаж и техническая эксплуатация промышленного оборудования (по отраслям)», 15.02.02 «Техническая эксплуатация оборудования для производства электронной техники», 15.02.03 «Техническая эксплуатация гидравлических машин, гидроприводов и гидропневмоавтоматики», 15.02.04 «Специальные машины и устройства», 15.02.05 «Техническая эксплуатация оборудования в торговле и общественном питании», 15.02.06 «Монтаж и техническая эксплуатация холодильно-компрессорных машин и установок (по отраслям)», 15.02.08 «Технология машиностроения», 15.02.09 «Аддитивные технологии»</t>
  </si>
  <si>
    <t>119150.21.01</t>
  </si>
  <si>
    <t>Материаловедение и тех. матер.: Уч.пос. / А.М.Адаскин - 2 изд. - М.:Форум, НИЦ ИНФРА-М,2026 - 335 с.(СПО)(П)</t>
  </si>
  <si>
    <t>МАТЕРИАЛОВЕДЕНИЕ И ТЕХНОЛОГИЯ МАТЕРИАЛОВ, ИЗД.2</t>
  </si>
  <si>
    <t>Адаскин А. М., Зуев В. М.</t>
  </si>
  <si>
    <t>978-5-00091-756-5</t>
  </si>
  <si>
    <t>15.02.01, 15.02.03, 15.02.04, 15.02.06, 15.02.07, 15.02.09, 15.02.10, 15.02.16, 15.02.17, 15.02.18, 15.02.19, 22.02.08, 26.02.04</t>
  </si>
  <si>
    <t>713375.01.01</t>
  </si>
  <si>
    <t>Материаловедение конструкцион. и инструментал. материал...: Уч. / А.М.Адаскин-М.:НИЦ ИНФРА-М,2019.-320с(П)</t>
  </si>
  <si>
    <t>МАТЕРИАЛОВЕДЕНИЕ КОНСТРУКЦИОННЫХ И ИНСТРУМЕНТАЛЬНЫХ МАТЕРИАЛОВ В СТАНКОСТРОЕНИИ</t>
  </si>
  <si>
    <t>Адаскин А.М.</t>
  </si>
  <si>
    <t>978-5-16-015391-9</t>
  </si>
  <si>
    <t>15.02.01, 15.02.03, 15.02.04, 15.02.06, 15.02.07, 15.02.16, 15.02.17, 15.02.19, 22.02.08, 35.01.06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</si>
  <si>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15.02.00 «Машиностроение» и 22.02.00 «Технологии материалов» (протокол № 8 от 29.04.2019)</t>
  </si>
  <si>
    <t>775843.07.01</t>
  </si>
  <si>
    <t>Материаловедение: дизайн, архитектура: Уч.пос.: Т.1 / Е.Б.Володина - М.:НИЦ ИНФРА-М,2026 - 388 с.(СПО)(П)</t>
  </si>
  <si>
    <t>МАТЕРИАЛОВЕДЕНИЕ: ДИЗАЙН, АРХИТЕКТУРА, Т.1</t>
  </si>
  <si>
    <t>Володина Е.Б.</t>
  </si>
  <si>
    <t>978-5-16-017570-6</t>
  </si>
  <si>
    <t>07.02.01, 43.01.11, 54.01.06, 54.01.12, 54.02.01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</si>
  <si>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07.02.01 «Архитектура», 54.02.01 «Дизайн (по отраслям)» (протокол № 10 от 15.12.2021)</t>
  </si>
  <si>
    <t>775844.06.01</t>
  </si>
  <si>
    <t>Материаловедение: дизайн...: Уч.пос.: В 2 т.Т.2 / Е.Б.Володина - М.:НИЦ ИНФРА-М,2026 - 432 с(СПО)(П)</t>
  </si>
  <si>
    <t>МАТЕРИАЛОВЕДЕНИЕ: ДИЗАЙН, АРХИТЕКТУРА, Т.2</t>
  </si>
  <si>
    <t>978-5-16-017571-3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</si>
  <si>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54.02.01 «Дизайн (по отраслям)» (протокол № 10 от 15.12.2021)</t>
  </si>
  <si>
    <t>683404.06.01</t>
  </si>
  <si>
    <t>Материаловедение: Раб. тетр. / М.А.Труевцева - М.:НИЦ ИНФРА-М,2026 - 316 с.(СПО)(О)</t>
  </si>
  <si>
    <t>МАТЕРИАЛОВЕДЕНИЕ: РАБОЧАЯ ТЕТРАДЬ</t>
  </si>
  <si>
    <t>Труевцева М.А., Краснова Е.Н.</t>
  </si>
  <si>
    <t>978-5-16-014411-5</t>
  </si>
  <si>
    <t>29.02.05, 29.02.10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</si>
  <si>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29.02.04 «Конструирование, моделирование и технология швейных изделий» (протокол № 6 от 16.06.2021)</t>
  </si>
  <si>
    <t>654517.13.01</t>
  </si>
  <si>
    <t>Материаловедение: Уч. / А.А.Черепахин - М.:КУРС, НИЦ ИНФРА-М,2026 - 336 с.-(СПО)(п)</t>
  </si>
  <si>
    <t>МАТЕРИАЛОВЕДЕНИЕ</t>
  </si>
  <si>
    <t>Черепахин А.А.</t>
  </si>
  <si>
    <t>978-5-906923-18-9</t>
  </si>
  <si>
    <t>13.02.13, 15.02.07, 15.02.16, 22.02.08</t>
  </si>
  <si>
    <t>062150.20.01</t>
  </si>
  <si>
    <t>Материаловедение: Уч. / Под ред. Батиенкова В.Т. - М.:НИЦ ИНФРА-М,2026 - 151 с.(СПО)(П)</t>
  </si>
  <si>
    <t>Сеферов Г.Г., Батиенков В.Т., Сеферов Г.Г. и др.</t>
  </si>
  <si>
    <t>978-5-16-016094-8</t>
  </si>
  <si>
    <t>08.01.29, 08.02.01, 08.02.08, 08.02.13, 18.02.13, 24.02.02, 27.02.06</t>
  </si>
  <si>
    <t>082740.07.01</t>
  </si>
  <si>
    <t>Материаловедение: Уч. пос. / Г.Г. Сеферов - М.: РИОР, 2025 - 158 с. (Проф. обр.) (о.к/ф)</t>
  </si>
  <si>
    <t>Сеферов Г. Г., Батиенков В. Т.</t>
  </si>
  <si>
    <t>Профессиональное образование [карм. формат]</t>
  </si>
  <si>
    <t>978-5-369-00137-0</t>
  </si>
  <si>
    <t>08.02.08</t>
  </si>
  <si>
    <t>095050.19.01</t>
  </si>
  <si>
    <t>Материаловедение: Уч.пос. / В.А.Стуканов - М.:ИД ФОРУМ, НИЦ ИНФРА-М,2024. - 368с.(ПО)</t>
  </si>
  <si>
    <t>978-5-8199-0352-0</t>
  </si>
  <si>
    <t>11.02.16, 13.02.05, 23.01.17, 23.02.03, 23.02.07, 24.01.01, 24.02.01, 26.02.04</t>
  </si>
  <si>
    <t>Допущено Министерством образования РФ в качестве учебного пособия для студентов учреждений среднего профессионального образования, обучающихся по специальности "Техническое обслуживание и ремонт автомобильного транспорта"</t>
  </si>
  <si>
    <t>730631.09.01</t>
  </si>
  <si>
    <t>Материалы деревообраб. производств: Уч.пос. / А.А.Барташевич - 2 изд. - М.:НИЦ ИНФРА-М,2026 - 307 с.(СПО)(П)</t>
  </si>
  <si>
    <t>МАТЕРИАЛЫ ДЕРЕВООБРАБАТЫВАЮЩИХ ПРОИЗВОДСТВ, ИЗД.2</t>
  </si>
  <si>
    <t>Барташевич А.А., Игнатович Л.В.</t>
  </si>
  <si>
    <t>978-5-16-015944-7</t>
  </si>
  <si>
    <t>26.01.02, 35.02.18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</si>
  <si>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35.02.03 «Технология деревообработки», 35.02.04 «Технология комплексной переработки древесины» (протокол № 15 от 14.10.2019)</t>
  </si>
  <si>
    <t>682971.11.01</t>
  </si>
  <si>
    <t>Материалы для одежды. Ткани: Справ.: Уч.пос. / Б.А.Бузов - М.: НИЦ ИНФРА-М,2026 - 224 с.(СПО)(П)</t>
  </si>
  <si>
    <t>МАТЕРИАЛЫ ДЛЯ ОДЕЖДЫ. ТКАНИ</t>
  </si>
  <si>
    <t>Бузов Б.А., Румянцева Г.П.</t>
  </si>
  <si>
    <t>978-5-16-021226-5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</si>
  <si>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29.02.04 «Конструирование, моделирование и технология швейных изделий»</t>
  </si>
  <si>
    <t>682972.07.01</t>
  </si>
  <si>
    <t>Материалы для отделки одежды: Уч.пос. / Н.Г.Бессонова - М.:ИД , НИЦ ИНФРА-М,2026 - 144 с.(СПО)(П)</t>
  </si>
  <si>
    <t>МАТЕРИАЛЫ ДЛЯ ОТДЕЛКИ ОДЕЖДЫ</t>
  </si>
  <si>
    <t>Бессонова Н.Г., Бузов Б.А.</t>
  </si>
  <si>
    <t>978-5-16-021471-9</t>
  </si>
  <si>
    <t>54.01.05, 54.02.03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</si>
  <si>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29.02.00 «Технологии легкой промышленности»</t>
  </si>
  <si>
    <t>064750.23.01</t>
  </si>
  <si>
    <t>Материалы и изделия для сан.-техн.устройств и систем обесп..: Уч. / К.С.Орлов - НИЦ ИНФРА-М,2026 - 183 с.(СПО)(П)</t>
  </si>
  <si>
    <t>МАТЕРИАЛЫ И ИЗДЕЛИЯ ДЛЯ САНИТАРНО-ТЕХНИЧЕСКИХ УСТРОЙСТВ И СИСТЕМ ОБЕСПЕЧЕНИЯ МИКРОКЛИМАТА</t>
  </si>
  <si>
    <t>978-5-16-004418-7</t>
  </si>
  <si>
    <t>08.02.04, 08.02.08, 08.02.13, 13.02.02, 18.01.27, 19.01.01</t>
  </si>
  <si>
    <t>Допущено Государственным комитетом Российской Федерации по строительству и жилищно-коммунальному комплексу  в качестве учебника для студентов средних специальных учебных заведений, обучающихся по специальности 08.02.07 «Монтаж и эксплуатация внутренних сантехнических устройств и вентиляции»</t>
  </si>
  <si>
    <t>838479.01.01</t>
  </si>
  <si>
    <t>Материально-технич. снабжение ж/д транспорта: Уч. / А.В.Цевелев - М.:НИЦ ИНФРА-М,2025. - 409 с.-(СПО)(п)</t>
  </si>
  <si>
    <t>МАТЕРИАЛЬНО-ТЕХНИЧЕСКОЕ СНАБЖЕНИЕ ЖЕЛЕЗНОДОРОЖНОГО ТРАНСПОРТА</t>
  </si>
  <si>
    <t>Цевелев А.В.</t>
  </si>
  <si>
    <t>978-5-16-020208-2</t>
  </si>
  <si>
    <t>23.02.01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</si>
  <si>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направлениям подготовки 38.03.01 «Экономика», 38.03.02 «Менеджмент» (квалификация (степень) «бакалавр») (протокол № 2 от 17.02.2021)</t>
  </si>
  <si>
    <t>Сибирский государственный университет путей сообщения</t>
  </si>
  <si>
    <t>798334.06.01</t>
  </si>
  <si>
    <t>Материально-техническая база библиотек: Уч.пос. / Л.И.Алешин - М., НИЦ ИНФРА-М,2026. - 448 с.(СПО)(п)</t>
  </si>
  <si>
    <t>МАТЕРИАЛЬНО-ТЕХНИЧЕСКАЯ БАЗА БИБЛИОТЕК</t>
  </si>
  <si>
    <t>978-5-16-021433-7</t>
  </si>
  <si>
    <t>51.02.03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</si>
  <si>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51.02.03 «Библиотековедение» (протокол № 10 от 21.12.2022)</t>
  </si>
  <si>
    <t>742682.04.01</t>
  </si>
  <si>
    <t>Медико-биологич. основы безопас.: Уч. / А.И.Лобанов, - 2 изд. - М.:НИЦ ИНФРА-М,2025. - 368 с.(СПО)(п)</t>
  </si>
  <si>
    <t>МЕДИКО-БИОЛОГИЧЕСКИЕ ОСНОВЫ БЕЗОПАСНОСТИ, ИЗД.2</t>
  </si>
  <si>
    <t>Лобанов А.И.</t>
  </si>
  <si>
    <t>978-5-16-019795-1</t>
  </si>
  <si>
    <t>00.02.01, 20.02.01, 20.02.02</t>
  </si>
  <si>
    <t>Допущено Министерством Российской Федерации по делам гражданской обороны, чрезвычайным ситуациям и ликвидации последствий стихийных бедствий в качестве учебника для слушателей, студентов и курсантов образовательных учреждений МЧС России</t>
  </si>
  <si>
    <t>Академия гражданской защиты МЧС России</t>
  </si>
  <si>
    <t>742682.01.01</t>
  </si>
  <si>
    <t>Медико-биологические основы безопасности: Уч. / А.И.Лобанов-М.:НИЦ ИНФРА-М,2021.-357 с..-(СПО)(П)</t>
  </si>
  <si>
    <t>МЕДИКО-БИОЛОГИЧЕСКИЕ ОСНОВЫ БЕЗОПАСНОСТИ</t>
  </si>
  <si>
    <t>978-5-16-016445-8</t>
  </si>
  <si>
    <t>703218.07.01</t>
  </si>
  <si>
    <t>Менеджмент в сервисе и туризме: Уч.пос. / В.М.Пищулов, - 3 изд. - М.:НИЦ ИНФРА-М,2026. - 284 с.(СПО)(п)</t>
  </si>
  <si>
    <t>МЕНЕДЖМЕНТ В СЕРВИСЕ И ТУРИЗМЕ, ИЗД.3</t>
  </si>
  <si>
    <t>Пищулов В.М.</t>
  </si>
  <si>
    <t>978-5-16-014869-4</t>
  </si>
  <si>
    <t>43.02.11, 43.02.16, 43.02.17</t>
  </si>
  <si>
    <t>086260.22.01</t>
  </si>
  <si>
    <t>Менеджмент в сервисе и туризме: Уч.пос. / Н.А.Зайцева - 3 изд. - М.:НИЦ ИНФРА-М,2026 - 366 с.(СПО)(о)</t>
  </si>
  <si>
    <t>Зайцева Н. А.</t>
  </si>
  <si>
    <t>978-5-16-016114-3</t>
  </si>
  <si>
    <t>38.02.01, 43.02.11, 43.02.16</t>
  </si>
  <si>
    <t>682973.06.01</t>
  </si>
  <si>
    <t>Менеджмент гостеприимства: Уч.пос. / Е.Н.Кнышова - М.: НИЦ ИНФРА-М,2026. - 512 с.(СПО)(П)</t>
  </si>
  <si>
    <t>МЕНЕДЖМЕНТ ГОСТЕПРИИМСТВА</t>
  </si>
  <si>
    <t>Кнышова Е.Н., Белозерова Ю.М.</t>
  </si>
  <si>
    <t>978-5-16-021290-6</t>
  </si>
  <si>
    <t>43.02.16, 43.02.17</t>
  </si>
  <si>
    <t>758795.06.01</t>
  </si>
  <si>
    <t>Менеджмент информационного контента: Уч.пос. / В.Н.Шитов - М.:НИЦ ИНФРА-М,2026 - 209 с.(СПО)(П)</t>
  </si>
  <si>
    <t>МЕНЕДЖМЕНТ ИНФОРМАЦИОННОГО КОНТЕНТА</t>
  </si>
  <si>
    <t>978-5-16-017311-5</t>
  </si>
  <si>
    <t>09.01.03, 09.02.07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</si>
  <si>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09.02.07 «Информационные системы и программирование» (протокол № 9 от 17.11.2021)</t>
  </si>
  <si>
    <t>773018.04.01</t>
  </si>
  <si>
    <t>Менеджмент: теория и практика: Уч.пос. / В.М.Федоров - М.:НИЦ ИНФРА-М,2026. - 267 с.(СПО)(П)</t>
  </si>
  <si>
    <t>МЕНЕДЖМЕНТ: ТЕОРИЯ И ПРАКТИКА</t>
  </si>
  <si>
    <t>Федоров В.М., Саньков М.А.</t>
  </si>
  <si>
    <t>978-5-16-017501-0</t>
  </si>
  <si>
    <t>033295.22.01</t>
  </si>
  <si>
    <t>Менеджмент: Уч. / О.С.Виханский - 2 изд. - М.:Магистр, НИЦ ИНФРА-М,2024 - 288 с.(П)</t>
  </si>
  <si>
    <t>МЕНЕДЖМЕНТ, ИЗД.2</t>
  </si>
  <si>
    <t>Виханский О. С., Наумов А. И.</t>
  </si>
  <si>
    <t>978-5-9776-0085-9</t>
  </si>
  <si>
    <t>21.02.18, 24.02.01, 38.02.01, 38.02.02, 38.02.03, 38.02.06, 38.02.07, 38.02.08, 55.02.01</t>
  </si>
  <si>
    <t>Рекомендовано Министерство образования и науки Российской Федерации в качестве учебника обучающихся по направлению подготовки «Экономика» и для студентов высших учебных заведений, специальностям «Финансы и кредит», «Бухгалтерский учет, анализ, и ауди</t>
  </si>
  <si>
    <t>047950.19.01</t>
  </si>
  <si>
    <t>Менеджмент: Уч. пос. / Е.Н.Кнышова - М.:ИД ФОРУМ, НИЦ ИНФРА-М,2025. - 304 с.-(Проф.обр.)(П)</t>
  </si>
  <si>
    <t>МЕНЕДЖМЕНТ</t>
  </si>
  <si>
    <t>978-5-8199-0106-9</t>
  </si>
  <si>
    <t>21.02.18, 26.02.04, 38.02.01, 38.02.02, 38.02.03, 38.02.06, 38.02.07, 38.02.08</t>
  </si>
  <si>
    <t>0103</t>
  </si>
  <si>
    <t>087120.17.01</t>
  </si>
  <si>
    <t>Менеджмент: Уч.пос. / А.В.Райченко - 2 изд. - М.:НИЦ ИНФРА-М,2025. - 342 с.-(СПО)(П)</t>
  </si>
  <si>
    <t>Райченко А.В., Хохлова И.В.</t>
  </si>
  <si>
    <t>978-5-16-012233-5</t>
  </si>
  <si>
    <t>684816.06.01</t>
  </si>
  <si>
    <t>Менеджмент: Уч.пос. / А.П.Балашов - М.:Вуз. уч., НИЦ ИНФРА-М,2026 - 272 с.(СПО)(П)</t>
  </si>
  <si>
    <t>Балашов А.П.</t>
  </si>
  <si>
    <t>978-5-9558-0627-3</t>
  </si>
  <si>
    <t>21.02.11, 38.02.01, 38.02.02, 38.02.03, 38.02.06, 38.02.07, 38.02.08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</si>
  <si>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5 от 11.03.2019)</t>
  </si>
  <si>
    <t>Новосибирский государственный аграрный университет</t>
  </si>
  <si>
    <t>645602.07.01</t>
  </si>
  <si>
    <t>Менеджмент: Уч.пос. / Е.И.Мазилкина - М.:НИЦ ИНФРА-М,2025 - 197 с.(СПО)(П)</t>
  </si>
  <si>
    <t>Мазилкина Е.И.</t>
  </si>
  <si>
    <t>978-5-16-012447-6</t>
  </si>
  <si>
    <t>08.02.08, 38.02.01, 38.02.02, 38.02.03, 38.02.06, 38.02.07, 38.02.08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</si>
  <si>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специальности 38.02.04 «Коммерция (по отраслям)»</t>
  </si>
  <si>
    <t>257900.09.01</t>
  </si>
  <si>
    <t>Мерчандайзинг: Уч.пос. / С.Б.Алексина - 2 изд. - М.:НИЦ ИНФРА-М,2024 - 178 с.(СПО)(П)</t>
  </si>
  <si>
    <t>МЕРЧАНДАЙЗИНГ, ИЗД.2</t>
  </si>
  <si>
    <t>Алексина С.Б., Иванов Г.Г.</t>
  </si>
  <si>
    <t>978-5-16-016846-3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</si>
  <si>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38.02.04 «Коммерция (по отраслям)» (протокол № 10 от 15.12.2021)</t>
  </si>
  <si>
    <t>257900.06.01</t>
  </si>
  <si>
    <t>Мерчандайзинг: Уч.пос. / С.Б.Алексина - М.:ИД Форум, НИЦ ИНФРА-М,2021 - 152 с.-(СПО)(О)</t>
  </si>
  <si>
    <t>МЕРЧАНДАЙЗИНГ</t>
  </si>
  <si>
    <t>978-5-8199-0919-5</t>
  </si>
  <si>
    <t>Рекомендовано кафедрой торговой политики РЭУ им. Г.В. Плеханова в качестве учебного пособия для студентов средних специальных учебных заведений, обучающихся по направлениям «Торговое дело» (бакалавриат), «Экономика» (бакалавриат), «Менеджмент» (бакалавриат)</t>
  </si>
  <si>
    <t>112200.17.01</t>
  </si>
  <si>
    <t>Металлические конструкции: Уч. / В.В.Доркин - М.:НИЦ ИНФРА-М,2026 - 457 с.(СПО)(П)</t>
  </si>
  <si>
    <t>МЕТАЛЛИЧЕСКИЕ КОНСТРУКЦИИ</t>
  </si>
  <si>
    <t>Доркин В. В., Рябцева М. П.</t>
  </si>
  <si>
    <t>978-5-16-003631-1</t>
  </si>
  <si>
    <t>08.02.01, 08.02.02, 23.02.08</t>
  </si>
  <si>
    <t>Допущено Федеральным агентством по строительству и жилищно-коммунальному хозяйству в кач-ве учебника для студентов средних специальных учебных заведений, обучающихся по специальности 270103 "Строительство и экспл. зданий и сооружений"</t>
  </si>
  <si>
    <t>155400.13.01</t>
  </si>
  <si>
    <t>Металловедение: Уч. / В.В.Овчинников - М.:ИД ФОРУМ, НИЦ ИНФРА-М,2025 - 320 с.(СПО)(П)</t>
  </si>
  <si>
    <t>МЕТАЛЛОВЕДЕНИЕ</t>
  </si>
  <si>
    <t>Овчинников В. В.</t>
  </si>
  <si>
    <t>978-5-8199-0867-9</t>
  </si>
  <si>
    <t>15.01.36, 22.02.08, 26.02.04</t>
  </si>
  <si>
    <t>Рекомендовано Федеральным государственным учреждением «Федеральный институт развития образования» в качестве учебника для использования в учебном процессе образовательных учреждений, реализующих программы среднего профессионального образования</t>
  </si>
  <si>
    <t>110050.12.01</t>
  </si>
  <si>
    <t>Металловедение: Уч. пос. для студ. / В.С. Власов. - М.: Альфа-М:  ИНФРА-М, 2026. - 336 с. (п)</t>
  </si>
  <si>
    <t>Власов В. С.</t>
  </si>
  <si>
    <t>978-5-98281-167-7</t>
  </si>
  <si>
    <t>15.01.38, 22.01.11, 22.02.08</t>
  </si>
  <si>
    <t>Рекомендовано Федеральным государственным учреждением "Федеральный институт развития образования" в качестве учебного пособия для студентов образовательных  учреждений, реализующих программы среднего профессионального образования</t>
  </si>
  <si>
    <t>682974.04.01</t>
  </si>
  <si>
    <t>Металлообрабатывающие станки и оборуд...: Уч.пос. / А.О.Харченко, - 2 изд.-М.:Вуз. уч., 2024-260с(П)</t>
  </si>
  <si>
    <t>МЕТАЛЛООБРАБАТЫВАЮЩИЕ СТАНКИ И ОБОРУДОВАНИЕ МАШИНОСТРОИТЕЛЬНЫХ ПРОИЗВОДСТВ, ИЗД.2</t>
  </si>
  <si>
    <t>Харченко А.О.</t>
  </si>
  <si>
    <t>978-5-9558-0624-2</t>
  </si>
  <si>
    <t>12.02.04, 15.01.22, 15.01.26, 15.01.27, 15.01.35, 15.01.36, 15.01.38, 15.02.01, 15.02.03, 15.02.04, 15.02.07, 15.02.09, 15.02.16, 15.02.17, 15.02.18, 23.02.03, 27.02.02, 27.02.07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</si>
  <si>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15.02.00 «Машиностроение»</t>
  </si>
  <si>
    <t>682975.11.01</t>
  </si>
  <si>
    <t>Металлообрабатывающие станки: Уч. / Л.И.Вереина - М.:НИЦ ИНФРА-М,2026. - 440 с.(СПО)(П)</t>
  </si>
  <si>
    <t>МЕТАЛЛООБРАБАТЫВАЮЩИЕ СТАНКИ</t>
  </si>
  <si>
    <t>Вереина Л.И.</t>
  </si>
  <si>
    <t>978-5-16-013967-8</t>
  </si>
  <si>
    <t>714244.06.01</t>
  </si>
  <si>
    <t>Металлорежущее технологическое оборудование: Уч.пос. / Л.И.Вереина - М.:НИЦ ИНФРА-М,2025-435с(СПО)(П)</t>
  </si>
  <si>
    <t>МЕТАЛЛОРЕЖУЩЕЕ ТЕХНОЛОГИЧЕСКОЕ ОБОРУДОВАНИЕ</t>
  </si>
  <si>
    <t>Вереина Л.И., Ягопольский А.Г., Вереина Л.И.</t>
  </si>
  <si>
    <t>978-5-16-015434-3</t>
  </si>
  <si>
    <t>12.02.04, 15.01.35, 15.01.38, 15.02.01, 15.02.03, 15.02.04, 15.02.09, 15.02.16, 15.02.17, 23.02.03</t>
  </si>
  <si>
    <t>682976.15.01</t>
  </si>
  <si>
    <t>Металлорежущие станки с ЧПУ: Уч.пос. / В.Б.Мещерякова - М.:НИЦ ИНФРА-М,2026 - 336 с.(СПО)(п)</t>
  </si>
  <si>
    <t>МЕТАЛЛОРЕЖУЩИЕ СТАНКИ С ЧПУ</t>
  </si>
  <si>
    <t>Мещерякова В.Б., Стародубов В.С.</t>
  </si>
  <si>
    <t>978-5-16-013968-5</t>
  </si>
  <si>
    <t>12.02.04, 15.01.22, 15.01.26, 15.01.27, 15.01.35, 15.01.36, 15.01.38, 15.02.01, 15.02.03, 15.02.04, 15.02.07, 15.02.09, 15.02.16, 15.02.17, 15.02.18, 18.02.13, 23.02.03, 27.02.02, 27.02.07</t>
  </si>
  <si>
    <t>Рекомендовано Учебно-методическим советом СПО в качестве учебного пособия для учебных заведений, реализующих программу среднего профессионального образования по специальностям 15.02.07 «Автоматизация технологических процессов и производств», 15.02.08 «Технология машиностроения»</t>
  </si>
  <si>
    <t>075300.20.01</t>
  </si>
  <si>
    <t>Методика матем. развития: Уч.пос. / Н.И.Фрейлах - 2 изд. - М.:ИД ФОРУМ,НИЦ ИНФРА-М,2025 - 240 с.(СПО)(П)</t>
  </si>
  <si>
    <t>МЕТОДИКА МАТЕМАТИЧЕСКОГО РАЗВИТИЯ, ИЗД.2</t>
  </si>
  <si>
    <t>978-5-8199-0741-2</t>
  </si>
  <si>
    <t>44.02.01, 44.02.03, 44.02.05</t>
  </si>
  <si>
    <t>851010.01.01</t>
  </si>
  <si>
    <t>Методика обуч. матем. в 1 кл.: Уч.мет.пос. / А.В.Белошистая - М.:НИЦ ИНФРА-М,2026. - 471 с.:цв.ил.(СПО)(п)</t>
  </si>
  <si>
    <t>МЕТОДИКА ОБУЧЕНИЯ МАТЕМАТИКЕ В 1 КЛАССЕ</t>
  </si>
  <si>
    <t>978-5-16-020812-1</t>
  </si>
  <si>
    <t>Начальная школа</t>
  </si>
  <si>
    <t>44.02.02</t>
  </si>
  <si>
    <t>Август, 2025</t>
  </si>
  <si>
    <t>778017.06.01</t>
  </si>
  <si>
    <t>Методика обуч. матем. в нач. шк. Прак.: Уч.пос. / Н.Б.Истомина-Кастровская - 2 изд. - М.:НИЦ ИНФРА-М,2026 - 187 с.(П)</t>
  </si>
  <si>
    <t>МЕТОДИКА ОБУЧЕНИЯ МАТЕМАТИКЕ В НАЧАЛЬНОЙ ШКОЛЕ. ПРАКТИКУМ, ИЗД.2</t>
  </si>
  <si>
    <t>Истомина-Кастровская Н.Б., Заяц Ю.С.</t>
  </si>
  <si>
    <t>978-5-16-017843-1</t>
  </si>
  <si>
    <t>Алтайский государственный педагогический университет</t>
  </si>
  <si>
    <t>682977.08.01</t>
  </si>
  <si>
    <t>Методика физ. восп. и развития ребенка: Уч.пос. / Под ред.Козловой С.А. - 2 изд. - М:НИЦ ИНФРА-М,2026 - 312 с.(п)</t>
  </si>
  <si>
    <t>МЕТОДИКА ФИЗИЧЕСКОГО ВОСПИТАНИЯ И РАЗВИТИЯ РЕБЕНКА, ИЗД.2</t>
  </si>
  <si>
    <t>Кожухова Н.Н., Рыжкова Л.А., Борисова М.М. и др.</t>
  </si>
  <si>
    <t>978-5-16-013969-2</t>
  </si>
  <si>
    <t>44.02.01, 44.02.02, 44.02.03, 44.02.04, 44.02.05, 49.02.01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</si>
  <si>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44.02.01 «Дошкольное образование», 44.02.03 «Педагогика дополнительного образования»</t>
  </si>
  <si>
    <t>704068.04.01</t>
  </si>
  <si>
    <t>Методики расчета механосбороч. и вспомогат. цехов...: Уч.пос. / Е.С.Киселев - 2 изд. - М.: ИНФРА-М, 2025 - 143 с.(О)</t>
  </si>
  <si>
    <t>МЕТОДИКИ РАСЧЕТА МЕХАНОСБОРОЧНЫХ И ВСПОМОГАТЕЛЬНЫХ ЦЕХОВ, УЧАСТКОВ И МАЛЫХ ПРЕДПРИЯТИЙ МАШИНОСТРОИТЕЛЬНОГО ПРОИЗВОДСТВА, ИЗД.2</t>
  </si>
  <si>
    <t>Киселев Е.С., Худобин Л.В.</t>
  </si>
  <si>
    <t>978-5-16-014910-3</t>
  </si>
  <si>
    <t>Ульяновский государственный технический университет</t>
  </si>
  <si>
    <t>682978.10.01</t>
  </si>
  <si>
    <t>Методическая работа в ДОУ: Уч. / Н.А.Виноградова - М.:НИЦ ИНФРА-М,2025 - 219 с.(П)</t>
  </si>
  <si>
    <t>МЕТОДИЧЕСКАЯ РАБОТА В ДОШКОЛЬНОМ ОБРАЗОВАТЕЛЬНОМ УЧРЕЖДЕНИИ</t>
  </si>
  <si>
    <t>Виноградова Н.А., Микляева Н.В.</t>
  </si>
  <si>
    <t>978-5-16-013970-8</t>
  </si>
  <si>
    <t>44.02.01, 44.02.03, 44.02.04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</si>
  <si>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44.02.01 «Дошкольное образование», 44.02.03 «Педагогика дополнительного образования», 44.02.04 «Специальное дошкольное образование»</t>
  </si>
  <si>
    <t>719226.03.01</t>
  </si>
  <si>
    <t>Методология создания информ. сис.: Уч.пос. / А.М.Карминский - 2 изд. - М.:ИД Форум, НИЦ ИНФРА-М,2025 - 320 с.(П)</t>
  </si>
  <si>
    <t>МЕТОДОЛОГИЯ СОЗДАНИЯ ИНФОРМАЦИОННЫХ СИСТЕМ, ИЗД.2</t>
  </si>
  <si>
    <t>Карминский А. М., Черников Б. В.</t>
  </si>
  <si>
    <t>978-5-8199-0898-3</t>
  </si>
  <si>
    <t>09.01.04, 09.01.05, 09.02.03, 38.02.01, 38.02.02, 38.02.03, 38.02.06, 38.02.07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</si>
  <si>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09.02.00 «Информатика и вычислительная техника», 38.02.00 «Экономика и управление» (протокол № 8 от 22.06.2020)</t>
  </si>
  <si>
    <t>719225.06.01</t>
  </si>
  <si>
    <t>Методы и средства проектир. информац. сис.: Уч.пос. / Н.Н.Заботина - М.:НИЦ ИНФРА-М,2025. - 331 с.(П)</t>
  </si>
  <si>
    <t>МЕТОДЫ И СРЕДСТВА ПРОЕКТИРОВАНИЯ ИНФОРМАЦИОННЫХ СИСТЕМ</t>
  </si>
  <si>
    <t>Заботина Н.Н.</t>
  </si>
  <si>
    <t>978-5-16-015597-5</t>
  </si>
  <si>
    <t>09.02.03, 09.02.04, 09.02.10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</si>
  <si>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09.02.04 «Информационные системы (по отраслям)» (протокол № 13 от 16.09.2019)</t>
  </si>
  <si>
    <t>Ярославский государственный медицинский университет</t>
  </si>
  <si>
    <t>845413.01.01</t>
  </si>
  <si>
    <t>Методы расчета основных технико-экономических показ..: Уч.пос. / Ю.Р.Малых - М.:НИЦ ИНФРА-М,2026. - 180 с.(п)</t>
  </si>
  <si>
    <t>МЕТОДЫ РАСЧЕТА ОСНОВНЫХ ТЕХНИКО-ЭКОНОМИЧЕСКИХ ПОКАЗАТЕЛЕЙ ПРОЕКТИРОВАНИЯ (ДИЗАЙН)</t>
  </si>
  <si>
    <t>Малых Ю.Р.</t>
  </si>
  <si>
    <t>978-5-16-020798-8</t>
  </si>
  <si>
    <t>54.02.01</t>
  </si>
  <si>
    <t>Екатеринбургский колледж транспортного строительства</t>
  </si>
  <si>
    <t>682979.05.01</t>
  </si>
  <si>
    <t>Методы стимулир. продаж в торговле: Уч. / С.Б.Алексина. - М.:ИД ФОРУМ, НИЦ ИНФРА-М,2025. - 304 с.(СПО)(П)</t>
  </si>
  <si>
    <t>МЕТОДЫ СТИМУЛИРОВАНИЯ ПРОДАЖ В ТОРГОВЛЕ</t>
  </si>
  <si>
    <t>Алексина С.Б., Иванов Г.Г., Крышталев В.К. и др.</t>
  </si>
  <si>
    <t>978-5-8199-0796-2</t>
  </si>
  <si>
    <t>11.02.12, 38.02.08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</si>
  <si>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38.02.04 «Коммерция (по отраслям)», 38.02.05 «Товароведение и экспертиза качества потребительских товаров»</t>
  </si>
  <si>
    <t>682980.08.01</t>
  </si>
  <si>
    <t>Методы тех. диагностики автомобилей: Уч.пос. / В.Д.Мигаль - М.:ИД ФОРУМ, НИЦ ИНФРА-М,2025 - 417 с.(СПО)</t>
  </si>
  <si>
    <t>МЕТОДЫ ТЕХНИЧЕСКОЙ ДИАГНОСТИКИ АВТОМОБИЛЕЙ</t>
  </si>
  <si>
    <t>Мигаль В.Д., Мигаль В.П.</t>
  </si>
  <si>
    <t>978-5-8199-0797-9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</si>
  <si>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23.02.03 «Техническое обслуживание и ремонт автомобильного транспорта», 23.02.02 «Автомобиле- и тракторостроение»</t>
  </si>
  <si>
    <t>Уральский государственный университет путей сообщения</t>
  </si>
  <si>
    <t>708376.05.01</t>
  </si>
  <si>
    <t>Метрология, стандартизация и сертификация..: Уч.пос. / В.Д.Мочалов - 2 изд. - М.:НИЦ ИНФРА-М,2025 - 264 с.(П)</t>
  </si>
  <si>
    <t>МЕТРОЛОГИЯ, СТАНДАРТИЗАЦИЯ И СЕРТИФИКАЦИЯ. ОСНОВЫ ВЗАИМОЗАМЕНЯЕМОСТИ, ИЗД.2</t>
  </si>
  <si>
    <t>Мочалов В.Д., Погонин А.А., Афанасьев А.А.</t>
  </si>
  <si>
    <t>978-5-16-015107-6</t>
  </si>
  <si>
    <t>15.02.01, 15.02.03, 15.02.04, 15.02.06, 15.02.07, 15.02.09, 15.02.10, 15.02.16, 15.02.17, 15.02.18, 15.02.19, 20.02.02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</si>
  <si>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15.02.07 «Автоматизация технологических процессов и производств (по отраслям)», 15.02.08 «Технология машиностроения» (протокол № 4 от 25.02.2019)</t>
  </si>
  <si>
    <t>092450.20.01</t>
  </si>
  <si>
    <t>Метрология, стандартизация и..: Уч..пос. / Е.Б.Герасимова, - 2 изд. - М.:НИЦ ИНФРА-М,2026. - 224 с.(СПО)(п)</t>
  </si>
  <si>
    <t>МЕТРОЛОГИЯ, СТАНДАРТИЗАЦИЯ И СЕРТИФИКАЦИЯ, ИЗД.2</t>
  </si>
  <si>
    <t>Герасимова Е.Б., Герасимов Б.И.</t>
  </si>
  <si>
    <t>978-5-16-021143-5</t>
  </si>
  <si>
    <t>00.02.32, 08.02.03, 12.02.10, 13.02.07, 14.02.01, 14.02.02, 15.01.37, 15.02.01, 15.02.03, 15.02.09, 15.02.10, 15.02.16, 15.02.18, 15.02.19, 18.02.12, 21.02.12, 23.02.02, 23.02.05, 25.02.08, 26.02.04, 27.02.04, 27.02.07, 35.02.18</t>
  </si>
  <si>
    <t>653007.11.01</t>
  </si>
  <si>
    <t>Метрология, стандартизация, сертиф.,технич...: Уч. / В.Ю.Шишмарев - М.:КУРС, НИЦ ИНФРА-М,2026 - 312 с.(СПО)(п)</t>
  </si>
  <si>
    <t>МЕТРОЛОГИЯ, СТАНДАРТИЗАЦИЯ, СЕРТИФИКАЦИЯ, ТЕХНИЧЕСКОЕ РЕГУЛИРОВАНИЕ И ДОКУМЕНТОВЕДЕНИЕ</t>
  </si>
  <si>
    <t>Шишмарев В.Ю.</t>
  </si>
  <si>
    <t>978-5-906923-15-8</t>
  </si>
  <si>
    <t>05.01.01, 05.02.03, 09.02.01, 09.02.02, 09.02.04, 09.02.06, 27.02.06</t>
  </si>
  <si>
    <t>079950.26.01</t>
  </si>
  <si>
    <t>Метрология, стандартизация, сертификация: Уч. / А.А.Канке, - 2 изд. - М.:НИЦ ИНФРА-М,2026. - 363 с.(СПО)(п)</t>
  </si>
  <si>
    <t>МЕТРОЛОГИЯ, СТАНДАРТИЗАЦИЯ, СЕРТИФИКАЦИЯ, ИЗД.2</t>
  </si>
  <si>
    <t>Канке А.А., Кошевая И.П.</t>
  </si>
  <si>
    <t>978-5-16-016811-1</t>
  </si>
  <si>
    <t>00.02.32, 05.01.01, 09.02.01, 13.02.05, 21.02.13, 26.02.04, 27.02.01, 27.02.06, 27.02.07, 55.02.01</t>
  </si>
  <si>
    <t>079950.23.01</t>
  </si>
  <si>
    <t>Метрология, стандартизация, сертификация: Уч. / И.П.Кошевая, - М.:Форум, НИЦ ИНФРА-М,2022.-415 с.(П)</t>
  </si>
  <si>
    <t>МЕТРОЛОГИЯ, СТАНДАРТИЗАЦИЯ, СЕРТИФИКАЦИЯ</t>
  </si>
  <si>
    <t>Кошевая И.П., Канке А.А.</t>
  </si>
  <si>
    <t>978-5-16-013572-4</t>
  </si>
  <si>
    <t>682982.05.01</t>
  </si>
  <si>
    <t>Механизация и технология животнов.: лаб. практ.: Уч.пос. / Ю.Г.Иванов - М:НИЦ ИНФРА-М,2026 - 208 с.(СПО)</t>
  </si>
  <si>
    <t>МЕХАНИЗАЦИЯ И ТЕХНОЛОГИЯ ЖИВОТНОВОДСТВА: ЛАБОРАТОРНЫЙ ПРАКТИКУМ</t>
  </si>
  <si>
    <t>Иванов Ю.Г., Филонов Р.Ф., Мурусидзе Д.Н.</t>
  </si>
  <si>
    <t>978-5-16-013972-2</t>
  </si>
  <si>
    <t>19.02.11, 19.02.12, 35.01.23, 35.01.27, 35.02.05, 35.02.07, 35.02.08, 35.02.16, 36.01.02, 36.02.01, 36.02.03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</si>
  <si>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 специальности 35.02.07 «Механизация сельского хозяйства»</t>
  </si>
  <si>
    <t>682983.09.01</t>
  </si>
  <si>
    <t>Механизация растениеводства: Уч. / Под ред. Солнцева В.Н. - М.:НИЦ ИНФРА-М,2025 - 383 с.-(СПО)(П)</t>
  </si>
  <si>
    <t>МЕХАНИЗАЦИЯ РАСТЕНИЕВОДСТВА</t>
  </si>
  <si>
    <t>Солнцев В.Н., Тарасенко А.П., Оробинский В.И. и др.</t>
  </si>
  <si>
    <t>978-5-16-013973-9</t>
  </si>
  <si>
    <t>19.02.11, 19.02.12, 35.01.27, 35.01.30, 35.02.05, 35.02.07, 35.02.08, 35.02.16, 36.01.02, 36.02.03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</si>
  <si>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35.02.05 «Агрономия», 35.02.06 «Технология производства и переработки сельскохозяйственной продукции», 35.02.07 «Механизация сельского хозяйства»</t>
  </si>
  <si>
    <t>Воронежский государственный аграрный университет им. императора Петра I</t>
  </si>
  <si>
    <t>483523.11.01</t>
  </si>
  <si>
    <t>Механические испытания: металлы, сварные..: Уч. /В.В.Овчинников - М.:ИД ФОРУМ:НИЦ ИНФРА-М,2025-272с(п)</t>
  </si>
  <si>
    <t>МЕХАНИЧЕСКИЕ ИСПЫТАНИЯ: МЕТАЛЛЫ, СВАРНЫЕ СОЕДИНЕНИЯ, ПОКРЫТИЯ</t>
  </si>
  <si>
    <t>Овчинников В.В., Гуреева М.А.</t>
  </si>
  <si>
    <t>978-5-8199-0619-4</t>
  </si>
  <si>
    <t>15.02.19, 26.02.04</t>
  </si>
  <si>
    <t>Рекомендовано федеральным государственным учреждением «Федеральный институт развития образования» в качестве учебника для использования в учебном процессе образовательных учреждений, реализующих программы среднего профессионального образования</t>
  </si>
  <si>
    <t>063720.09.01</t>
  </si>
  <si>
    <t>Механическое оборуд. производ. тугоплав. неметал..: Уч./ В.С.Севостьянов-М:НИЦ ИНФРА-М,2024-432с(СПО)(П)</t>
  </si>
  <si>
    <t>МЕХАНИЧЕСКОЕ ОБОРУДОВАНИЕ ПРОИЗВОДСТВА ТУГОПЛАВКИХ НЕМЕТАЛЛИЧЕСКИХ И СИЛИКАТНЫХ МАТЕРИАЛОВ И ИЗДЕЛИЙ</t>
  </si>
  <si>
    <t>Севостьянов В. С., Богданов В. С., Дубинин Н. Н., Уральский В. И.</t>
  </si>
  <si>
    <t>978-5-16-009102-0</t>
  </si>
  <si>
    <t>18.02.05, 18.02.13</t>
  </si>
  <si>
    <t>Допущено Государственным комитетом Российской Федерации по строительству и жилищно-коммунальному комплексу в качестве учебника для студентов средних специальных учебных заведений, обучающихся по специальности «Производство тугоплавких неметаллических</t>
  </si>
  <si>
    <t>096550.19.01</t>
  </si>
  <si>
    <t>Микробиология, физиология питания, санитария: Уч./ Е.А.Рубина - 2 изд. - М.:Форум, НИЦ ИНФРА-М,2025-240с(О)</t>
  </si>
  <si>
    <t>МИКРОБИОЛОГИЯ, ФИЗИОЛОГИЯ ПИТАНИЯ, САНИТАРИЯ, ИЗД.2</t>
  </si>
  <si>
    <t>Рубина Е. А., Малыгина В. Ф.</t>
  </si>
  <si>
    <t>978-5-00091-480-9</t>
  </si>
  <si>
    <t>18.02.15, 19.01.17, 19.01.18, 19.01.19, 19.02.10, 19.02.11, 19.02.12, 19.02.13, 31.02.01, 31.02.02, 32.02.01, 33.02.01, 34.02.01, 35.01.16, 35.01.23, 35.01.24, 35.01.27, 35.02.05, 35.02.09, 35.02.10, 36.02.03, 38.01.02, 43.01.01, 43.01.04, 43.01.09, 43.02.15, 43.02.17, 35.01.34</t>
  </si>
  <si>
    <t>Рекомендовано Методическим советом Учебно-методического центра по профессиональному образованию Департамента образования города Москвы в качестве учебного пособия для студентов среднего профессионального образования</t>
  </si>
  <si>
    <t>742686.03.01</t>
  </si>
  <si>
    <t>Микробиология: Уч. / М.В.Гернет и др. - М.:НИЦ ИНФРА-М,2025 - 263 с.-(СПО)(П)</t>
  </si>
  <si>
    <t>МИКРОБИОЛОГИЯ</t>
  </si>
  <si>
    <t>Гернет М.В., Ильяшенко Н.Г., Шабурова Л.Н.</t>
  </si>
  <si>
    <t>978-5-16-016454-0</t>
  </si>
  <si>
    <t>08.02.04, 19.02.10, 31.02.01, 31.02.02, 31.02.03, 32.02.01, 33.02.01, 34.02.01, 43.02.15, 43.02.17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</si>
  <si>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19.00.00 «Промышленная экология и биотехнологии» (протокол № 8 от 22.06.2020)</t>
  </si>
  <si>
    <t>711172.11.01</t>
  </si>
  <si>
    <t>Микропроцессорные системы: Уч.  / В.В.Гуров - М.:НИЦ ИНФРА-М,2026  - 336 с.(СПО)(П)</t>
  </si>
  <si>
    <t>МИКРОПРОЦЕССОРНЫЕ СИСТЕМЫ</t>
  </si>
  <si>
    <t>Гуров В.В.</t>
  </si>
  <si>
    <t>978-5-16-015323-0</t>
  </si>
  <si>
    <t>09.02.01, 09.02.02, 09.02.03, 09.02.04, 09.02.05, 09.02.06, 09.02.07, 09.02.08, 09.02.09, 09.02.10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</si>
  <si>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09.02.00 «Информатика и вычислительная техника» (протокол № 6 от 25.03.2019)</t>
  </si>
  <si>
    <t>719248.06.01</t>
  </si>
  <si>
    <t>Микросхемотехника: Уч. / А.К.Черепанов - М.:НИЦ ИНФРА-М,2023 - 292 с.-(СПО)(П)</t>
  </si>
  <si>
    <t>МИКРОСХЕМОТЕХНИКА</t>
  </si>
  <si>
    <t>Черепанов А.К.</t>
  </si>
  <si>
    <t>978-5-16-015613-2</t>
  </si>
  <si>
    <t>09.02.01, 11.02.03, 11.02.06, 11.02.07, 11.02.09, 11.02.11, 11.02.14, 11.02.15, 11.02.17, 11.02.18, 12.02.01, 12.02.03, 12.02.05, 12.02.06, 13.02.12, 13.02.13, 15.02.07, 15.02.17, 27.02.04, 53.02.08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</si>
  <si>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11.02.00 «Электроника, радиотехника и системы связи» (протокол № 12 от 24.06.2019)</t>
  </si>
  <si>
    <t>МИРЭА - Российский технологический университет</t>
  </si>
  <si>
    <t>682984.10.01</t>
  </si>
  <si>
    <t>Мировая культура и искусство: Уч.пос. / И.И.Толстикова, - 2 изд. - М.:НИЦ ИНФРА-М,2026. - 418 с.(СПО)(п)</t>
  </si>
  <si>
    <t>МИРОВАЯ КУЛЬТУРА И ИСКУССТВО, ИЗД.2</t>
  </si>
  <si>
    <t>Толстикова И.И.</t>
  </si>
  <si>
    <t>978-5-16-013974-6</t>
  </si>
  <si>
    <t>29.01.04, 29.01.09, 42.02.01, 43.02.02, 43.02.17, 50.02.01, 51.02.01, 51.02.02, 51.02.03, 52.02.03, 52.02.04, 52.02.05, 54.01.02, 54.01.05, 54.01.06, 54.01.13, 54.01.20, 54.02.01, 54.02.04, 54.02.06, 54.02.08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</si>
  <si>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50.02.01 «Мировая художественная культура», 51.02.01 «Народное художественное творчество (по видам)», 51.02.01«Социально-культурная деятельность (по видам)»</t>
  </si>
  <si>
    <t>Национальный исследовательский университет ИТМО</t>
  </si>
  <si>
    <t>689674.04.01</t>
  </si>
  <si>
    <t>Мировая худ. культура: Уч.пос. / М.С.Колесов - М.:НИЦ ИНФРА-М,2026 - 281 с.(СПО (СевГУ))(П)</t>
  </si>
  <si>
    <t>МИРОВАЯ ХУДОЖЕСТВЕННАЯ КУЛЬТУРА</t>
  </si>
  <si>
    <t>Колесов М.С.</t>
  </si>
  <si>
    <t>Среднее профессиональное образование (СевГУ)</t>
  </si>
  <si>
    <t>978-5-16-015231-8</t>
  </si>
  <si>
    <t>29.01.04, 29.01.09, 42.02.01, 43.02.02, 43.02.17, 51.02.03, 52.02.03, 52.02.04, 52.02.05, 54.01.01, 54.01.02, 54.01.05, 54.01.06, 54.01.08, 54.01.09, 54.01.12, 54.01.13, 54.01.14, 54.01.15, 54.01.16, 54.01.17, 54.01.18, 54.01.19, 54.01.20, 54.02.01, 54.02.02, 54.02.03, 54.02.04, 54.02.05, 54.02.06, 54.02.07, 54.02.08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</si>
  <si>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программу среднего профессионального образования (протокол № 17 от 11.11.2019)</t>
  </si>
  <si>
    <t>735064.01.01</t>
  </si>
  <si>
    <t>Моделирование в OpenSCAD на примерах: Уч.пос. / А.М.Башкатов-М.:НИЦ ИНФРА-М,2020.-333 с.(СПО)(П)</t>
  </si>
  <si>
    <t>МОДЕЛИРОВАНИЕ В OPENSCAD НА ПРИМЕРАХ</t>
  </si>
  <si>
    <t>Башкатов А.М.</t>
  </si>
  <si>
    <t>978-5-16-016162-4</t>
  </si>
  <si>
    <t>08.02.15, 09.02.03, 09.02.04, 09.02.05, 09.02.07, 10.02.02, 11.02.09, 11.02.11, 11.02.14, 11.02.15, 11.02.18, 15.02.07, 15.02.09, 15.02.16, 27.02.02, 27.02.03, 27.02.04, 27.02.05, 27.02.06, 27.02.07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</si>
  <si>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09.02.00 «Информатика и вычислительная техника», 15.02.00 «Машиностроение» (протокол № 6 от 06.04.2020)</t>
  </si>
  <si>
    <t>176800.17.01</t>
  </si>
  <si>
    <t>Монтаж газораспределительных систем: Уч.пос. / В.И.Краснов - М.:НИЦ ИНФРА-М,2026. - 309 с.(СПО)(п)</t>
  </si>
  <si>
    <t>МОНТАЖ ГАЗОРАСПРЕДЕЛИТЕЛЬНЫХ СИСТЕМ</t>
  </si>
  <si>
    <t>Краснов В.И.</t>
  </si>
  <si>
    <t>978-5-16-020761-2</t>
  </si>
  <si>
    <t>07.02.01, 08.02.03, 08.02.08, 08.02.13, 08.02.14</t>
  </si>
  <si>
    <t>Рекомендовано Федеральным агентством по строительству и жилищно-коммунальному хозяйству в качестве учебного пособия  для студентов средних специальных строительных учебных заведений, обучающихся по специальности 08.02.08 «Монтаж и эксплуатация оборудования и систем газоснабжения»</t>
  </si>
  <si>
    <t>154450.19.01</t>
  </si>
  <si>
    <t>Монтаж систем вентиляции и кондиционир.воздуха: Уч.пос. / В.И.Краснов - М.:НИЦ ИНФРА-М,2026. - 224 с.(СПО)</t>
  </si>
  <si>
    <t>МОНТАЖ СИСТЕМ ВЕНТИЛЯЦИИ И КОНДИЦИОНИРОВАНИЯ ВОЗДУХА</t>
  </si>
  <si>
    <t>978-5-16-004299-2</t>
  </si>
  <si>
    <t>07.02.01, 08.02.03, 08.02.08, 08.02.13, 08.02.14, 13.02.02, 15.02.06</t>
  </si>
  <si>
    <t>Рекомендовано Федеральным агентством по строительству и жилищно-коммунальному хозяйству в качестве учебного пособия для студентов средних специальных строительных учебных заведений, обучающихся по специальности 08.02.07 "Монтаж и эксплуатация внутренних сантехнических устройств и вентиляции"</t>
  </si>
  <si>
    <t>719243.10.01</t>
  </si>
  <si>
    <t>Монтаж, наладка и эксплуатация электрооборуд.: Уч.пос. / Н.В.Грунтович - М.:НИЦ ИНФРА-М,2025 - 271 с.(СПО)(П)</t>
  </si>
  <si>
    <t>МОНТАЖ, НАЛАДКА И ЭКСПЛУАТАЦИЯ ЭЛЕКТРООБОРУДОВАНИЯ</t>
  </si>
  <si>
    <t>Грунтович Н.В.</t>
  </si>
  <si>
    <t>978-5-16-015611-8</t>
  </si>
  <si>
    <t>08.02.09, 11.01.02, 11.01.05, 11.01.11, 11.02.15, 11.02.16, 13.01.07, 13.01.10, 13.02.07, 13.02.08, 13.02.09, 13.02.12, 13.02.13, 15.01.36, 15.01.37, 18.01.28, 21.01.15, 21.02.12, 26.01.05, 26.02.04, 26.02.05, 26.02.06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</si>
  <si>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13.02.00 «Электро- и теплоэнергетика» (протокол № 12 от 24.06.2019)</t>
  </si>
  <si>
    <t>Гомельский государственный технический университет имени П.О. Сухого</t>
  </si>
  <si>
    <t>766526.07.01</t>
  </si>
  <si>
    <t>Монтаж, эксплуатация и ремонт электрооборуд..: Уч.пос. / Ю.Д.Сибикин - 2 изд. - М.:НИЦ ИНФРА-М,2026 - 464 с.(П)</t>
  </si>
  <si>
    <t>МОНТАЖ, ЭКСПЛУАТАЦИЯ И РЕМОНТ ЭЛЕКТРООБОРУДОВАНИЯ ПРОМЫШЛЕННЫХ ПРЕДПРИЯТИЙ И УСТАНОВОК, ИЗД.2</t>
  </si>
  <si>
    <t>978-5-16-017754-0</t>
  </si>
  <si>
    <t>08.02.09, 11.01.02, 11.01.05, 11.02.15, 13.01.07, 13.01.10, 13.02.07, 13.02.08, 13.02.09, 13.02.12, 15.01.37, 18.01.28, 21.01.15, 26.01.05, 26.02.04, 26.02.05, 26.02.06, 35.01.15</t>
  </si>
  <si>
    <t>Рекомендовано экспертным советом по профессиональному образованию Министерства образования и науки Российской Федерации в качестве учебного пособия для учащихся  среднего профессионального образования</t>
  </si>
  <si>
    <t>766461.01.01</t>
  </si>
  <si>
    <t>Морфология мясопромышленных животных: Уч. / М.В.Сидорова - М.:НИЦ ИНФРА-М,2022 - 307 с.(П)</t>
  </si>
  <si>
    <t>МОРФОЛОГИЯ МЯСОПРОМЫШЛЕННЫХ ЖИВОТНЫХ (АНАТОМИЯ И ГИСТОЛОГИЯ)</t>
  </si>
  <si>
    <t>Сидорова М.В., Панов В.П., Семак А.Э. и др.</t>
  </si>
  <si>
    <t>978-5-16-017228-6</t>
  </si>
  <si>
    <t>19.02.12, 35.02.15, 36.01.02, 36.01.05, 36.02.01, 36.02.03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</si>
  <si>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19.02.08 «Технология мяса и мясных продуктов» (протокол № 5 от 19.05.2021)</t>
  </si>
  <si>
    <t>747805.01.01</t>
  </si>
  <si>
    <t>Музыкально-поэтическое представление: Уч.мет.пос. / М.В.Литвинова-М.:НИЦ ИНФРА-М,2021.-166 с..-(СПО)(П)</t>
  </si>
  <si>
    <t>МУЗЫКАЛЬНО-ПОЭТИЧЕСКОЕ ПРЕДСТАВЛЕНИЕ</t>
  </si>
  <si>
    <t>Литвинова М.В., Кожаева И.В.</t>
  </si>
  <si>
    <t>978-5-16-016639-1</t>
  </si>
  <si>
    <t>51.02.01, 51.02.02, 51.02.03, 53.02.01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</si>
  <si>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51.00.00 «Культуроведение и социокультурные проекты» (протокол № 9 от 28.09.2020)</t>
  </si>
  <si>
    <t>Белгородский государственный институт искусств и культуры</t>
  </si>
  <si>
    <t>074050.10.01</t>
  </si>
  <si>
    <t>Муниципальное право РФ: Уч.пос. / А.Н.Миронов, - 3-е изд.-М.:ИД Форум, НИЦ ИНФРА-М,2020-223с(СПО)(П)</t>
  </si>
  <si>
    <t>МУНИЦИПАЛЬНОЕ ПРАВО РОССИЙСКОЙ ФЕДЕРАЦИИ, ИЗД.3</t>
  </si>
  <si>
    <t>Миронов А. Н.</t>
  </si>
  <si>
    <t>978-5-8199-0586-9</t>
  </si>
  <si>
    <t>Допущено Министерством образования РФв качестве учебного пособия для студентов учреждений среднего профессионального образования, обучающихся по специальностям правоведческого профиля</t>
  </si>
  <si>
    <t>074050.11.01</t>
  </si>
  <si>
    <t>Муниципальное право РФ: Уч.пос. / А.Н.Миронов, - 4-е изд.-М.:НИЦ ИНФРА-М,2024.-222 с..-(П)</t>
  </si>
  <si>
    <t>МУНИЦИПАЛЬНОЕ ПРАВО РОССИЙСКОЙ ФЕДЕРАЦИИ, ИЗД.4</t>
  </si>
  <si>
    <t>978-5-16-016289-8</t>
  </si>
  <si>
    <t>682987.07.01</t>
  </si>
  <si>
    <t>Муниципальное право РФ: Уч.пос. / И.А.Алексеев - 3 изд.-М.:НИЦ ИНФРА-М,2023.-254 с.(СПО)(П)</t>
  </si>
  <si>
    <t>Алексеев И.А., Адамоков Б.Б., Белявский Д.С. и др.</t>
  </si>
  <si>
    <t>978-5-16-013975-3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</si>
  <si>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40.02.00 «Юриспруденция»</t>
  </si>
  <si>
    <t>Пятигорский государственный университет</t>
  </si>
  <si>
    <t>792151.01.01</t>
  </si>
  <si>
    <t>Муниципальное право: Уч.пос./ А.Н.Чашин-М.:НИЦ ИНФРА-М,2023.-209 с.(СПО)(П)</t>
  </si>
  <si>
    <t>МУНИЦИПАЛЬНОЕ ПРАВО</t>
  </si>
  <si>
    <t>Чашин А.Н.</t>
  </si>
  <si>
    <t>978-5-16-018016-8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</si>
  <si>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40.02.01 «Право и организация социального обеспечения», 40.02.02 «Правоохранительная деятельность», 40.02.03 «Право и судебное администрирование» (протокол № 6 от 08.06.2022)</t>
  </si>
  <si>
    <t>Северо-Восточный государственный университет</t>
  </si>
  <si>
    <t>757826.05.01</t>
  </si>
  <si>
    <t>Навигация и лоция: Сб. заданий на практ. раб.: Прак. / Г.В.Белокур - М.:НИЦ ИНФРА-М,2026 - 167 с.(П)</t>
  </si>
  <si>
    <t>НАВИГАЦИЯ И ЛОЦИЯ: СБОРНИК ЗАДАНИЙ НА ПРАКТИЧЕСКИЕ РАБОТЫ</t>
  </si>
  <si>
    <t>Белокур Г.В., Сухина М.И., Скворцов С.Н. и др.</t>
  </si>
  <si>
    <t>978-5-16-016919-4</t>
  </si>
  <si>
    <t>26.01.07, 26.01.09, 26.02.01, 26.02.03, 35.01.32, 43.01.04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</si>
  <si>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«Судовождение» (протокол № 11 от 09.11.2020)</t>
  </si>
  <si>
    <t>682989.05.01</t>
  </si>
  <si>
    <t>Надежность электроснабжения: Уч.пос. / В.Я.Хорольский -М.:Форум, НИЦ ИНФРА-М,2023.-127 с..-(СПО)(О)</t>
  </si>
  <si>
    <t>НАДЕЖНОСТЬ ЭЛЕКТРОСНАБЖЕНИЯ</t>
  </si>
  <si>
    <t>Хорольский В.Я., Таранов М.А.</t>
  </si>
  <si>
    <t>978-5-00091-599-8</t>
  </si>
  <si>
    <t>13.01.10, 13.02.01, 13.02.02, 13.02.04, 13.02.07, 13.02.09, 13.02.12, 21.01.08, 23.02.06, 35.01.15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</si>
  <si>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13.02.00 «Электро- и теплоэнергетика»</t>
  </si>
  <si>
    <t>690066.05.01</t>
  </si>
  <si>
    <t>Налоги и налогообложение: Прак. для СПО: Уч.пос. / Н.И.Яшина - 2 изд.-М.:ИЦ РИОР, НИЦ ИНФРА-М,2024.-128 с.(о)</t>
  </si>
  <si>
    <t>НАЛОГИ И НАЛОГООБЛОЖЕНИЕ: ПРАКТИКУМ ДЛЯ СПО, ИЗД.2</t>
  </si>
  <si>
    <t>Яшина Н.И., Гинзбург М.Ю., Чеснокова Л.А. и др.</t>
  </si>
  <si>
    <t>978-5-369-01933-7</t>
  </si>
  <si>
    <t>38.02.02, 38.02.03, 38.02.06, 38.02.07, 42.02.02</t>
  </si>
  <si>
    <t>Национальный исследовательский Нижегородский государственный университет им. Н.И. Лобачевского</t>
  </si>
  <si>
    <t>690066.06.01</t>
  </si>
  <si>
    <t>Налоги и налогообложение: Практ. для СПО: Уч.пос. / Н.И.Яшина - 3 изд. - М.:ИЦ РИОР, НИЦ ИНФРА-М,2025 - 129 с.(о)</t>
  </si>
  <si>
    <t>НАЛОГИ И НАЛОГООБЛОЖЕНИЕ: ПРАКТИКУМ ДЛЯ СПО, ИЗД.3</t>
  </si>
  <si>
    <t>978-5-369-01989-4</t>
  </si>
  <si>
    <t>744473.03.01</t>
  </si>
  <si>
    <t>Налоги и налогообложение: практ.: Уч. пос. / Е.Ю.Сидорова - 3 изд. - М.:НИЦ ИНФРА-М,2025. - 272 с.(СПО)(п)</t>
  </si>
  <si>
    <t>НАЛОГИ И НАЛОГООБЛОЖЕНИЕ: ПРАКТИКУМ, ИЗД.3</t>
  </si>
  <si>
    <t>Сидорова Е.Ю., Бобошко Д.Ю.</t>
  </si>
  <si>
    <t>978-5-16-019433-2</t>
  </si>
  <si>
    <t>38.02.01, 38.02.02, 38.02.03, 38.02.06, 38.02.07</t>
  </si>
  <si>
    <t>690066.03.01</t>
  </si>
  <si>
    <t>Налоги и налогообложение: Практ.: Уч.пос. / Н.И.Яшина - М.:ИЦ РИОР,НИЦ ИНФРА-М,2020-118с(СПО)(О)</t>
  </si>
  <si>
    <t>НАЛОГИ И НАЛОГООБЛОЖЕНИЕ: ПРАКТИКУМ ДЛЯ СПО</t>
  </si>
  <si>
    <t>978-5-369-01787-6</t>
  </si>
  <si>
    <t>744473.01.01</t>
  </si>
  <si>
    <t>Налоги и налогообложение: практикум: Уч.пос. / Е.Ю.Сидорова - М.:НИЦ ИНФРА-М,2021 - 309 с.(СПО)(П)</t>
  </si>
  <si>
    <t>НАЛОГИ И НАЛОГООБЛОЖЕНИЕ. ПРАКТИКУМ</t>
  </si>
  <si>
    <t>978-5-16-016631-5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</si>
  <si>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ррограмму среднего профессионального образования по экономическим  специальностям (протокол № 8 от 22.06.2020)</t>
  </si>
  <si>
    <t>750788.05.01</t>
  </si>
  <si>
    <t>Налоги и налогообложение: Уч. / Е.Ю.Сидорова, - 2 изд. - М.:НИЦ ИНФРА-М,2025. - 228 с.(СПО)(п)</t>
  </si>
  <si>
    <t>НАЛОГИ И НАЛОГООБЛОЖЕНИЕ, ИЗД.2</t>
  </si>
  <si>
    <t>978-5-16-020571-7</t>
  </si>
  <si>
    <t>34.02.01, 35.01.23, 35.01.24, 38.02.02, 38.02.03, 38.02.06, 38.02.07, 42.02.02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</si>
  <si>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экономическим специальностям (протокол № 9 от 28.09.2020)</t>
  </si>
  <si>
    <t>750788.03.01</t>
  </si>
  <si>
    <t>Налоги и налогообложение: Уч. / Е.Ю.Сидорова-М.:НИЦ ИНФРА-М,2024.-235 с.(СПО)(п)</t>
  </si>
  <si>
    <t>НАЛОГИ И НАЛОГООБЛОЖЕНИЕ</t>
  </si>
  <si>
    <t>978-5-16-016714-5</t>
  </si>
  <si>
    <t>712998.02.01</t>
  </si>
  <si>
    <t>Налоги и налогообложение: Уч.пос. / А.Н.Романов - М.:Вуз.уч.,НИЦ ИНФРА-М,2024 - 391 с.-(СПО)(П)</t>
  </si>
  <si>
    <t>Романов А.Н., Колчин С.П.</t>
  </si>
  <si>
    <t>978-5-9558-0643-3</t>
  </si>
  <si>
    <t>35.01.23, 35.01.24, 38.02.01, 38.02.02, 38.02.03, 38.02.06, 38.02.07, 38.02.08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</si>
  <si>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8 от 29.04.2019)</t>
  </si>
  <si>
    <t>816608.01.01</t>
  </si>
  <si>
    <t>Налоги и налогообложение: Уч.пос. / Н.З.Зотиков - М.:НИЦ ИНФРА-М,2025. - 397 с.(СПО)(п)</t>
  </si>
  <si>
    <t>Зотиков Н.З.</t>
  </si>
  <si>
    <t>978-5-16-019466-0</t>
  </si>
  <si>
    <t>Чувашский государственный университет им. И.Н. Ульянова</t>
  </si>
  <si>
    <t>712991.03.01</t>
  </si>
  <si>
    <t>Налоги и налогообложение: Уч.пос. / Н.Ф.Зарук.-М.:НИЦ ИНФРА-М,2024.-249 с..-(СПО)(П)</t>
  </si>
  <si>
    <t>Зарук Н.Ф., Носов А.В., Федотова М.Ю. и др.</t>
  </si>
  <si>
    <t>978-5-16-015688-0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</si>
  <si>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12 от 24.06.2019)</t>
  </si>
  <si>
    <t>846751.01.01</t>
  </si>
  <si>
    <t>Налоги и налогообложение: Уч.пос. / О.К.Котар, - 2 изд., доп. - М.:НИЦ ИНФРА-М,2026. - 247 с.(ВО)(п)</t>
  </si>
  <si>
    <t>Котар О.К., Шаронова Е.В.</t>
  </si>
  <si>
    <t>978-5-16-020511-3</t>
  </si>
  <si>
    <t>717331.08.01</t>
  </si>
  <si>
    <t>Налоговое право: Уч. / Л.Л.Арзуманова - 2 изд.-М.:Юр. НОРМА, НИЦ ИНФРА-М,2024.-152 с.(СПО)(п)</t>
  </si>
  <si>
    <t>НАЛОГОВОЕ ПРАВО, ИЗД.2</t>
  </si>
  <si>
    <t>Арзуманова Л.Л., Грачева Е.Ю., Болтинова О.В. и др.</t>
  </si>
  <si>
    <t>978-5-00156-323-5</t>
  </si>
  <si>
    <t>717331.07.01</t>
  </si>
  <si>
    <t>Налоговое право: Уч. / Л.Л.Арзуманова - М.:Юр.Норма,НИЦ ИНФРА-М,2023 - 152 с.(СПО) (П)</t>
  </si>
  <si>
    <t>НАЛОГОВОЕ ПРАВО</t>
  </si>
  <si>
    <t>978-5-00156-017-3</t>
  </si>
  <si>
    <t>712996.01.01</t>
  </si>
  <si>
    <t>Налоговый контроль. Налоговые проверки: уч.пос. / О.В.Болтинова и др.-М.:Юр. НОРМА, НИЦ ИНФРА-М,2019.-160 с..-(СПО)(П</t>
  </si>
  <si>
    <t>НАЛОГОВЫЙ КОНТРОЛЬ. НАЛОГОВЫЕ ПРОВЕРКИ</t>
  </si>
  <si>
    <t>Болтинова О.В., Арзуманова Л.Л., Лагкуева И.В. и др.</t>
  </si>
  <si>
    <t>978-5-00156-012-8</t>
  </si>
  <si>
    <t>35.01.23, 35.01.24, 38.02.01, 38.02.06, 40.02.02, 40.02.04</t>
  </si>
  <si>
    <t>095910.16.01</t>
  </si>
  <si>
    <t>Насосные и воздуходувные станции: Уч. / В.А.Комков - М.:НИЦ ИНФРА-М,2026. - 254 с.-(СПО)(П)</t>
  </si>
  <si>
    <t>НАСОСНЫЕ И ВОЗДУХОДУВНЫЕ СТАНЦИИ</t>
  </si>
  <si>
    <t>Комков В. А., Тимахова Н. С.</t>
  </si>
  <si>
    <t>978-5-16-010046-3</t>
  </si>
  <si>
    <t>08.02.01, 08.02.13</t>
  </si>
  <si>
    <t>Допущено Федеральным агентством по строительству и жилищно-коммунальному хозяйству в кач-ве учебного пособия для студентов средних специальных учебных заведений, обучающихся по специальности "Строительство и экспл. зданий и сооружений"</t>
  </si>
  <si>
    <t>845364.01.01</t>
  </si>
  <si>
    <t>Начала физической химии: Уч. пос. / Н.М. Бажин - М.:НИЦ ИНФРА-М, 2025 - 332 с.(СПО)(п)</t>
  </si>
  <si>
    <t>НАЧАЛА ФИЗИЧЕСКОЙ ХИМИИ</t>
  </si>
  <si>
    <t>Бажин Н.М., Пармон В.Н.</t>
  </si>
  <si>
    <t>978-5-16-020465-9</t>
  </si>
  <si>
    <t>18.02.01, 18.02.02, 18.02.04, 18.02.09, 18.02.10, 18.02.12, 18.02.14, 18.02.15, 21.02.01, 21.02.02, 21.02.03, 21.02.10, 22.02.08, 40.02.02</t>
  </si>
  <si>
    <t>Новосибирский государственный университет экономики и управления</t>
  </si>
  <si>
    <t>810061.01.01</t>
  </si>
  <si>
    <t>Начертательная геометрия. Практикум: уч.пос. / Н.А.Сальков-М.:НИЦ ИНФРА-М,2024.-142 с..-(СПО)(п)</t>
  </si>
  <si>
    <t>НАЧЕРТАТЕЛЬНАЯ ГЕОМЕТРИЯ. ПРАКТИКУМ</t>
  </si>
  <si>
    <t>Сальков Н.А.</t>
  </si>
  <si>
    <t>978-5-16-018976-5</t>
  </si>
  <si>
    <t>00.02.31, 07.02.01, 08.02.01, 54.02.01</t>
  </si>
  <si>
    <t>Московский государственный академический художественный институт им. В.И. Сурикова при Российской академии художеств</t>
  </si>
  <si>
    <t>778270.02.01</t>
  </si>
  <si>
    <t>Начертательная геометрия: Сб. задач и заданий: Уч.пос. / Н.А.Сальков-М.:НИЦ ИНФРА-М,2022.-148 с.(СПО)</t>
  </si>
  <si>
    <t>НАЧЕРТАТЕЛЬНАЯ ГЕОМЕТРИЯ: СБОРНИК ЗАДАЧ И ЗАДАНИЙ</t>
  </si>
  <si>
    <t>978-5-16-017770-0</t>
  </si>
  <si>
    <t>00.02.31, 08.02.01, 08.02.12, 15.01.22, 15.02.10, 15.02.16, 24.02.01, 24.02.02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</si>
  <si>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07.02.01 «Архитектура» (протокол № 3 от 09.03.2022)</t>
  </si>
  <si>
    <t>684899.05.01</t>
  </si>
  <si>
    <t>Начертательная геометрия: сборник задач: Уч.пос. /С.А.Фролов, - 3 изд.-М.:НИЦ ИНФРА-М,2019-172с(СПО)</t>
  </si>
  <si>
    <t>НАЧЕРТАТЕЛЬНАЯ ГЕОМЕТРИЯ: СБОРНИК ЗАДАЧ, ИЗД.3</t>
  </si>
  <si>
    <t>Фролов С.А.</t>
  </si>
  <si>
    <t>978-5-16-014147-3</t>
  </si>
  <si>
    <t>00.02.31, 08.02.01, 15.01.22, 15.02.10, 15.02.16, 23.02.02, 24.02.01, 24.02.02, 24.02.04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</si>
  <si>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техническим специальностям</t>
  </si>
  <si>
    <t>777691.03.01</t>
  </si>
  <si>
    <t>Начертательная геометрия: Уч. / Н.А.Сальков - М.:НИЦ ИНФРА-М,2025. - 332 с.(СПО)(П)</t>
  </si>
  <si>
    <t>НАЧЕРТАТЕЛЬНАЯ ГЕОМЕТРИЯ</t>
  </si>
  <si>
    <t>978-5-16-017771-7</t>
  </si>
  <si>
    <t>07.02.01, 54.02.06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</si>
  <si>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07.02.01 «Архитектура» (протокол № 3 от 09.03.2022)</t>
  </si>
  <si>
    <t>832809.01.01</t>
  </si>
  <si>
    <t>Начертательная геометрия: Уч. пос. / Под ред. Зайцев Ю.А.-М.:НИЦ ИНФРА-М,2024.-248 с.(СПО)(п)</t>
  </si>
  <si>
    <t>Зайцев Ю. А., Одиноков И. П., Решетников М. К., Зайцев Ю. А.</t>
  </si>
  <si>
    <t>978-5-16-019996-2</t>
  </si>
  <si>
    <t>07.02.01</t>
  </si>
  <si>
    <t>711675.02.01</t>
  </si>
  <si>
    <t>Немецкий язык (для экономистов): Уч.пос. / Е.С.Коплякова - М.:НИЦ ИНФРА-М,2025 - 471 с.(СПО)(П)</t>
  </si>
  <si>
    <t>НЕМЕЦКИЙ ЯЗЫК (ДЛЯ ЭКОНОМИСТОВ)</t>
  </si>
  <si>
    <t>Коплякова Е.С., Веселова Т.В.</t>
  </si>
  <si>
    <t>978-5-16-015342-1</t>
  </si>
  <si>
    <t>38.01.01, 38.01.03, 38.02.01, 38.02.02, 38.02.03, 38.02.06, 38.02.07, 38.02.08</t>
  </si>
  <si>
    <t>709417.09.01</t>
  </si>
  <si>
    <t>Немецкий язык: туризм и гостиничное дело: Уч. / М.М.Васильева - М.:НИЦ ИНФРА-М,2026. - 302 с.(СПО)(П)</t>
  </si>
  <si>
    <t>НЕМЕЦКИЙ ЯЗЫК: ТУРИЗМ И ГОСТИНИЧНОЕ ДЕЛО</t>
  </si>
  <si>
    <t>Васильева М.М., Васильева М.А.</t>
  </si>
  <si>
    <t>978-5-16-015238-7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</si>
  <si>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43.02.10 «Туризм», 43.02.11 «Гостиничный сервис» (протокол № 9 от 28.09.2020)</t>
  </si>
  <si>
    <t>Российский университет транспорта (МИИТ)</t>
  </si>
  <si>
    <t>732047.04.01</t>
  </si>
  <si>
    <t>Немецкий язык: Уч. / И.Б.Акиншина - М.:НИЦ ИНФРА-М,2024 - 247 с.-(СПО)(П)</t>
  </si>
  <si>
    <t>НЕМЕЦКИЙ ЯЗЫК</t>
  </si>
  <si>
    <t>Акиншина И.Б., Мирошниченко Л.Н.</t>
  </si>
  <si>
    <t>978-5-16-015998-0</t>
  </si>
  <si>
    <t>00.01.02, 00.02.02, 43.02.16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</si>
  <si>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(протокол № 15 от 14.10.2019)</t>
  </si>
  <si>
    <t>117300.13.01</t>
  </si>
  <si>
    <t>Неорганическая химия: Уч. пос. / И.В. Богомолова. - М.: Альфа-М:  ИНФРА-М, 2025. - 336 с. (п)</t>
  </si>
  <si>
    <t>НЕОРГАНИЧЕСКАЯ ХИМИЯ</t>
  </si>
  <si>
    <t>Богомолова И. В.</t>
  </si>
  <si>
    <t>978-5-98281-187-5</t>
  </si>
  <si>
    <t>18.01.01, 18.01.34, 18.01.35, 18.02.11, 19.02.13, 31.02.01</t>
  </si>
  <si>
    <t>647981.10.01</t>
  </si>
  <si>
    <t>Неразрушающий контроль авиац. техники: Уч.пос. / Е.В.Мартыненко - 2 изд. - М.:НИЦ ИНФРА-М,2026 -148 с.(СПО)</t>
  </si>
  <si>
    <t>НЕРАЗРУШАЮЩИЙ КОНТРОЛЬ АВИАЦИОННОЙ ТЕХНИКИ, ИЗД.2</t>
  </si>
  <si>
    <t>Мартыненко Е.В.</t>
  </si>
  <si>
    <t>978-5-16-012759-0</t>
  </si>
  <si>
    <t>12.02.01, 21.01.17, 25.02.01, 25.02.02, 25.02.03, 25.02.04, 25.02.05, 25.02.06, 25.02.07, 25.02.08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</si>
  <si>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специальности 25.02.01 «Техническая эксплуатация летательных аппаратов и двигателей»</t>
  </si>
  <si>
    <t>Московский государственный технический университет гражданской авиации, Иркутский ф-л</t>
  </si>
  <si>
    <t>841665.01.01</t>
  </si>
  <si>
    <t>Нормальная физиология: Практикум / В.А.Семилетова - М.:НИЦ ИНФРА-М,2025. - 190 с.(СПО)(п)</t>
  </si>
  <si>
    <t>НОРМАЛЬНАЯ ФИЗИОЛОГИЯ</t>
  </si>
  <si>
    <t>Семилетова В.А.</t>
  </si>
  <si>
    <t>978-5-16-020529-8</t>
  </si>
  <si>
    <t>31.02.01, 31.02.02, 31.02.03, 31.02.04, 31.02.05, 31.02.06, 34.02.01, 34.02.02</t>
  </si>
  <si>
    <t>Рекомендовано УМО РАЕ по классическому университетскому и техническому образованию в качестве учебного пособия (практикума) для студентов средних специальных учебных заведений, обучающихся по специальностям: 31.02.01 — «Лечебное дело», 34.02.01 — «Сестринское дело», 31.02.02 — «Акушерское дело», 31.02.03 — «Лабораторная диагностика», 33.02.01 — «Фармация», и студентов высших учебных заведений, обучающихся по направлениям подготовки: 49.03.01 — «Физическая культура», 49.03.04 — «Спорт», 06.03.01 — «Биология», 31.05.01 — «Лечебное дело», 31.05.02 — «Педиатрия», 32.05.01 — «Медико-профилактическое дело», 33.05.01 — «Фармация»</t>
  </si>
  <si>
    <t>Воронежский государственный медицинский университет им. Н.Н. Бурденко</t>
  </si>
  <si>
    <t>221300.13.01</t>
  </si>
  <si>
    <t>Обеспечение безоп. при чрезв. ситуациях: Уч./В.А.Бондаренко-2изд.-М.:ИЦ РИОР,НИЦ ИНФРА-М,2023-224с(П)</t>
  </si>
  <si>
    <t>ОБЕСПЕЧЕНИЕ БЕЗОПАСНОСТИ ПРИ ЧРЕЗВЫЧАЙНЫХ СИТУАЦИЯХ, ИЗД.2</t>
  </si>
  <si>
    <t>978-5-369-01784-5</t>
  </si>
  <si>
    <t>00.01.01, 00.02.01, 06.01.06, 20.02.02, 27.02.06, 34.02.01</t>
  </si>
  <si>
    <t>Рекомендовано федеральным государственным автономным учреждением «Федеральный институт развития образования» (ФГАУ «ФИРО») в качестве учебника для использования в учебном процессе образовательных учреждений, реализующих программы СПО</t>
  </si>
  <si>
    <t>833495.01.01</t>
  </si>
  <si>
    <t>Обеспечение безопас. окруж. среды в мед. орг.: Уч.пос. / Е.Г.Усольцева - М.:НИЦ ИНФРА-М,2025. - 332 с.(СПО)(п)</t>
  </si>
  <si>
    <t>ОБЕСПЕЧЕНИЕ БЕЗОПАСНОЙ ОКРУЖАЮЩЕЙ СРЕДЫ В МЕДИЦИНСКОЙ ОРГАНИЗАЦИИ</t>
  </si>
  <si>
    <t>Усольцева Е.Г.</t>
  </si>
  <si>
    <t>978-5-16-020087-3</t>
  </si>
  <si>
    <t>34.02.01, 34.02.02</t>
  </si>
  <si>
    <t>Краснодарский краевой базовый медицинский колледж</t>
  </si>
  <si>
    <t>221300.03.01</t>
  </si>
  <si>
    <t>Обеспечение безопасности при чрезвычайных ситуац.: Уч./ В.А.Бондаренко-М:РИОР:ИНФРА-М,2018-325с(ПО)</t>
  </si>
  <si>
    <t>ОБЕСПЕЧЕНИЕ БЕЗОПАСНОСТИ ПРИ ЧРЕЗВЫЧАЙНЫХ СИТУАЦИЯХ</t>
  </si>
  <si>
    <t>978-5-369-01233-8</t>
  </si>
  <si>
    <t>084920.19.01</t>
  </si>
  <si>
    <t>Оборудование предприятий общ. пит.: Уч.пос. / В.Ф.Кащенко - 2 изд. - М.:НИЦ ИНФРА-М,2026 - 373 с.(П)</t>
  </si>
  <si>
    <t>ОБОРУДОВАНИЕ ПРЕДПРИЯТИЙ ОБЩЕСТВЕННОГО ПИТАНИЯ, ИЗД.2</t>
  </si>
  <si>
    <t>Кащенко В.Ф., Кащенко Р.В.</t>
  </si>
  <si>
    <t>978-5-16-014118-3</t>
  </si>
  <si>
    <t>15.01.18, 15.02.01, 15.02.06, 18.01.03, 18.01.26, 18.01.35, 18.02.04, 18.02.07, 18.02.09, 18.02.11, 18.02.14, 18.02.15, 19.01.09, 19.01.18, 19.01.19, 19.02.10, 19.02.11, 19.02.12, 19.02.13, 19.02.14, 35.02.18, 43.01.09, 43.02.15, 43.02.16</t>
  </si>
  <si>
    <t>Допущено Минобрнауки России в качестве учебного пособия для студентов образовательных учреждений среднего профессионального образования</t>
  </si>
  <si>
    <t>084920.11.01</t>
  </si>
  <si>
    <t>Оборудование предприятий общ. питания:Уч.пос. / В.Ф.Кащенко-М.:НИЦ ИНФРА-М,2018-412с(СПО)(П)</t>
  </si>
  <si>
    <t>ОБОРУДОВАНИЕ ПРЕДПРИЯТИЙ ОБЩЕСТВЕННОГО ПИТАНИЯ</t>
  </si>
  <si>
    <t>Кащенко В. Ф., Кащенко Р. В.</t>
  </si>
  <si>
    <t>978-5-16-013858-9</t>
  </si>
  <si>
    <t>Допущено Минобрнауки Российской Федерации в качестве учебного пособия для студентов образовательных учреждений среднего профессионального образования</t>
  </si>
  <si>
    <t>223200.10.01</t>
  </si>
  <si>
    <t>Оборудование термических цехов: Уч. / В.В.Овчинников - М.:ИД Форум, НИЦ ИНФРА-М,2024 - 368 с.(СПО)(П)</t>
  </si>
  <si>
    <t>ОБОРУДОВАНИЕ ТЕРМИЧЕСКИХ ЦЕХОВ</t>
  </si>
  <si>
    <t>978-5-8199-0561-6</t>
  </si>
  <si>
    <t>15.01.05, 15.02.19, 22.02.08</t>
  </si>
  <si>
    <t>Рекомендовано Федеральным Государственным Учреждением «Федеральный институт развития образования» в качестве учебника для использования в учебном процессе образовательных учреждений, реализующих программы среднего профессионального образования</t>
  </si>
  <si>
    <t>831314.01.01</t>
  </si>
  <si>
    <t>Оборудование хлебопекар. производства: Прак.: Уч.пос. / А.А.Курочкин-М.:НИЦ ИНФРА-М,2024.-231 с.(СПО)(п)</t>
  </si>
  <si>
    <t>ОБОРУДОВАНИЕ ХЛЕБОПЕКАРНОГО ПРОИЗВОДСТВА. ПРАКТИКУМ</t>
  </si>
  <si>
    <t>Курочкин А.А., Шабурова Г.В.</t>
  </si>
  <si>
    <t>978-5-16-019955-9</t>
  </si>
  <si>
    <t>19.02.11</t>
  </si>
  <si>
    <t>Пензенский государственный технологический университет</t>
  </si>
  <si>
    <t>707077.06.01</t>
  </si>
  <si>
    <t>Обработка материалов резанием: Уч.пос. / С.Э.Завистовский - М.:НИЦ ИНФРА-М,2026 - 448 с.(СПО)(П)</t>
  </si>
  <si>
    <t>ОБРАБОТКА МАТЕРИАЛОВ РЕЗАНИЕМ</t>
  </si>
  <si>
    <t>Завистовский С.Э.</t>
  </si>
  <si>
    <t>978-5-16-015219-6</t>
  </si>
  <si>
    <t>15.02.01, 15.02.03, 15.02.04, 15.02.16, 15.02.17, 15.02.18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</si>
  <si>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15.02.00 «Машиностроение» (протокол № 5 от 11.03.2019)</t>
  </si>
  <si>
    <t>764638.01.01</t>
  </si>
  <si>
    <t>Обработка отраслевой информации: Уч.пос. / В.Н.Шитов-М.:НИЦ ИНФРА-М,2022.-184 с.(СПО)(П)</t>
  </si>
  <si>
    <t>ОБРАБОТКА ОТРАСЛЕВОЙ ИНФОРМАЦИИ</t>
  </si>
  <si>
    <t>978-5-16-017373-3</t>
  </si>
  <si>
    <t>09.02.05, 51.02.03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</si>
  <si>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09.02.07 «Информационные системы и программирование» (протокол № 1 от 12.01.2022)</t>
  </si>
  <si>
    <t>834612.01.01</t>
  </si>
  <si>
    <t>Образовательное право: Уч. / Д.А.Пашенцев, - 2 изд. - М.:НИЦ ИНФРА-М,2026. - 185 с.(СПО)(п)</t>
  </si>
  <si>
    <t>ОБРАЗОВАТЕЛЬНОЕ ПРАВО, ИЗД.2</t>
  </si>
  <si>
    <t>978-5-16-020202-0</t>
  </si>
  <si>
    <t>40.02.04, 44.02.02, 44.02.03, 44.02.04, 44.02.05, 44.02.06</t>
  </si>
  <si>
    <t>061800.20.01</t>
  </si>
  <si>
    <t>Обследование и испытание констр. зданий и сооруж.: Уч. / В.М.Калинин - М.:НИЦ ИНФРА-М,2025 - 336 с.(СПО)(п)</t>
  </si>
  <si>
    <t>ОБСЛЕДОВАНИЕ И ИСПЫТАНИЕ КОНСТРУКЦИЙ ЗДАНИЙ И СООРУЖЕНИЙ</t>
  </si>
  <si>
    <t>Калинин В.М., Сокова С.Д., Топилин А.Н.</t>
  </si>
  <si>
    <t>978-5-16-004786-7</t>
  </si>
  <si>
    <t>08.02.01, 08.02.02, 08.02.14, 20.01.01, 20.02.04</t>
  </si>
  <si>
    <t>Допущено Государственным комитетом Российской Федерации по строительству и жилищно-коммунальному комплексу в качестве учебника для студентов средних специальных учебных заведений, обучающихся по специальности 08.02.01 «Строительство и эксплуатация зданий и сооружений»</t>
  </si>
  <si>
    <t>713679.05.01</t>
  </si>
  <si>
    <t>Обследование техн. сост. зданий и сооружений: Уч.пос./М.В.Яковлева-Форум: НИЦ ИНФРА-М,2025-159с(СПО)</t>
  </si>
  <si>
    <t>ОБСЛЕДОВАНИЕ ТЕХНИЧЕСКОГО СОСТОЯНИЯ ЗДАНИЙ И СООРУЖЕНИЙ</t>
  </si>
  <si>
    <t>Яковлева М.В., Фролов Е.А., Фролов А.Е. и др.</t>
  </si>
  <si>
    <t>978-5-00091-711-4</t>
  </si>
  <si>
    <t>08.02.01, 08.02.02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</si>
  <si>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08.02.01 «Строительство и эксплуатация зданий и сооружений» (протокол № 6 от 06.04.2020)</t>
  </si>
  <si>
    <t>Самарский государственный технический университет</t>
  </si>
  <si>
    <t>711978.04.01</t>
  </si>
  <si>
    <t>Обслуживание и рем. судовых теплообмен. аппаратов: Уч.пос. / Н.В.Шерстнев - М.:НИЦ ИНФРА-М,2025 - 232 с(П)</t>
  </si>
  <si>
    <t>ОБСЛУЖИВАНИЕ И РЕМОНТ СУДОВЫХ ТЕПЛООБМЕННЫХ АППАРАТОВ</t>
  </si>
  <si>
    <t>Шерстнев Н.В.</t>
  </si>
  <si>
    <t>978-5-16-015351-3</t>
  </si>
  <si>
    <t>18.01.27, 18.01.28, 19.01.01, 26.01.01, 26.01.03, 26.01.05, 26.01.07, 26.01.09, 26.02.01, 26.02.02, 26.02.03, 26.02.04, 26.02.05, 26.02.06, 35.01.32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</si>
  <si>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26.02.02 «Судостроение», 26.02.04 «Монтаж и техническое обслуживание судовых машин и механизмов», 26.02.05 «Эксплуатация судовых энергетических установок» (протокол № 11 от 10.06.2019)</t>
  </si>
  <si>
    <t>753621.05.01</t>
  </si>
  <si>
    <t>Обслуживание и ремонт судовых насосов: Уч.пос. / Н.В.Шерстнев - М.:НИЦ ИНФРА-М,2025 - 399 с.(СПО)(П)</t>
  </si>
  <si>
    <t>ОБСЛУЖИВАНИЕ И РЕМОНТ СУДОВЫХ НАСОСОВ</t>
  </si>
  <si>
    <t>978-5-16-016816-6</t>
  </si>
  <si>
    <t>18.01.27, 18.01.28, 19.01.01, 26.01.01, 26.01.03, 26.01.05, 26.01.07, 26.01.09, 26.02.01, 26.02.03, 26.02.04, 26.02.05, 26.02.06, 35.01.32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</si>
  <si>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26.02.05 «Эксплуатация судовых энергетических установок» (протокол № 10 от 12.10.2020)</t>
  </si>
  <si>
    <t>734790.02.01</t>
  </si>
  <si>
    <t>Обслуживание и ремонт судовых трубопроводов..: Уч.пос. / Н.В.Шерстнев - М.:НИЦ ИНФРА-М,2026 - 372 с.(СПО)(П)</t>
  </si>
  <si>
    <t>ОБСЛУЖИВАНИЕ И РЕМОНТ СУДОВЫХ ТРУБОПРОВОДОВ, АРМАТУРЫ И ФИЛЬТРОВ</t>
  </si>
  <si>
    <t>978-5-16-016152-5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</si>
  <si>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26.02.05 «Эксплуатация судовых энергетических установок» (протокол № 17 от 11.11.2019)</t>
  </si>
  <si>
    <t>693010.07.01</t>
  </si>
  <si>
    <t>Обучение матем. в дошк. обр. орг.: Уч.мет.пос. / А.В.Белошистая - 2 изд.-М.:НИЦ ИНФРА-М,2025-320с.(СПО)(П)</t>
  </si>
  <si>
    <t>ОБУЧЕНИЕ МАТЕМАТИКЕ В ДОШКОЛЬНЫХ ОБРАЗОВАТЕЛЬНЫХ ОРГАНИЗАЦИЯХ, ИЗД.2</t>
  </si>
  <si>
    <t>978-5-16-014433-7</t>
  </si>
  <si>
    <t>44.02.01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</si>
  <si>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 специальности 44.02.01 «Дошкольное образование»</t>
  </si>
  <si>
    <t>682996.09.01</t>
  </si>
  <si>
    <t>Обучение реш. задач в нач.школе: Уч.пос. / А.В.Белошистая  - 2 изд. - М.:НИЦ ИНФРА-М,2026  - 281 с.(СПО)(п)</t>
  </si>
  <si>
    <t>ОБУЧЕНИЕ РЕШЕНИЮ ЗАДАЧ В НАЧАЛЬНОЙ ШКОЛЕ, ИЗД.2</t>
  </si>
  <si>
    <t>978-5-16-013977-7</t>
  </si>
  <si>
    <t>44.02.02, 44.02.04, 44.02.05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</si>
  <si>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44.02.01 «Дошкольное образование», 44.02.02 «Преподавание в начальных классах», 44.02.03 «Педагогика дополнительного образования»</t>
  </si>
  <si>
    <t>847558.01.01</t>
  </si>
  <si>
    <t>Обучение решению задач по матем. в 4 кл.: Уч.пос. / А.В.Белошистая - М.:НИЦ ИНФРА-М,2025 - 285 с.(СПО)(п)</t>
  </si>
  <si>
    <t>ОБУЧЕНИЕ РЕШЕНИЮ ЗАДАЧ ПО МАТЕМАТИКЕ В 4 КЛАССЕ</t>
  </si>
  <si>
    <t>978-5-16-020551-9</t>
  </si>
  <si>
    <t>44.02.02, 44.02.05</t>
  </si>
  <si>
    <t>798336.01.01</t>
  </si>
  <si>
    <t>Общая  социальная педагогика. Основы теории: Уч.пос. / В.Л.Чекулаенко-М:НИЦ ИНФРА-М,2023-191с(СПО)(П)</t>
  </si>
  <si>
    <t>ОБЩАЯ  СОЦИАЛЬНАЯ ПЕДАГОГИКА. ОСНОВЫ ТЕОРИИ</t>
  </si>
  <si>
    <t>Чекулаенко В.Л.</t>
  </si>
  <si>
    <t>978-5-16-018315-2</t>
  </si>
  <si>
    <t>00.01.04, 00.02.15, 39.02.01, 44.02.01, 44.02.02, 44.02.03, 44.02.04, 44.02.05, 44.02.06, 49.02.01, 49.02.02, 51.02.01, 51.02.03, 53.02.01, 54.02.06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</si>
  <si>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педагогическим специальностям (протокол № 9 от 17.11.2022)</t>
  </si>
  <si>
    <t>842442.01.01</t>
  </si>
  <si>
    <t>Общая и неорганич. химия в схемах...: Уч.пос. / А.П.Гаршин - 2 изд. - М.:НИЦ ИНФРА-М,2025 - 304 с(СПО)(п)</t>
  </si>
  <si>
    <t>ОБЩАЯ И НЕОРГАНИЧЕСКАЯ ХИМИЯ В СХЕМАХ, РИСУНКАХ, ТАБЛИЦАХ, ХИМИЧЕСКИХ РЕАКЦИЯХ, ИЗД.2</t>
  </si>
  <si>
    <t>Гаршин А.П.</t>
  </si>
  <si>
    <t>978-5-16-020345-4</t>
  </si>
  <si>
    <t>18.01.01, 18.01.35, 18.02.01, 18.02.04, 18.02.05, 18.02.07, 18.02.09, 18.02.10, 18.02.11, 18.02.12, 18.02.14, 18.02.15, 32.02.01, 33.02.01</t>
  </si>
  <si>
    <t>431860.11.01</t>
  </si>
  <si>
    <t>Общая и профессиональная педагогика: Уч. / Г.Н.Жуков - 2 изд. - М.:НИЦ ИНФРА-М,2024-425 с.-(СПО)(П)</t>
  </si>
  <si>
    <t>ОБЩАЯ И ПРОФЕССИОНАЛЬНАЯ ПЕДАГОГИКА, ИЗД.2</t>
  </si>
  <si>
    <t>Жуков Г. Н., Матросов П. Г.</t>
  </si>
  <si>
    <t>978-5-16-012546-6</t>
  </si>
  <si>
    <t>Рекомендовано в качестве учебника для учебных заведений, реализующих программу среднего профессионального образования по специальности 44.02.06 «Профессиональное обучение (по отраслям)»</t>
  </si>
  <si>
    <t>711274.08.01</t>
  </si>
  <si>
    <t>Общая психология в схемах и коммент.: Уч.пос. / В.Г.Крысько - 8 изд., - М.:НИЦ ИНФРА-М,2026 - 196 с.(СПО)(П)</t>
  </si>
  <si>
    <t>ОБЩАЯ ПСИХОЛОГИЯ В СХЕМАХ И КОММЕНТАРИЯХ, ИЗД.8</t>
  </si>
  <si>
    <t>Крысько В.Г.</t>
  </si>
  <si>
    <t>978-5-16-015329-2</t>
  </si>
  <si>
    <t>00.01.04, 00.02.15, 11.02.15, 26.02.03, 38.02.01, 38.02.02, 38.02.03, 38.02.06, 38.02.07, 38.02.08, 39.02.01, 39.02.03, 40.02.02, 40.02.04, 42.02.01, 42.02.08, 43.02.01, 43.02.02, 43.02.06, 43.02.15, 43.02.16, 43.02.17, 44.02.06, 50.02.01, 51.02.02, 49.02.03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</si>
  <si>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гуманитарным специальностям (протокол № 5 от 11.03.2019)</t>
  </si>
  <si>
    <t>0819</t>
  </si>
  <si>
    <t>842121.01.01</t>
  </si>
  <si>
    <t>Общая теория воспитания: Уч.пос. / С.Ю.Темина - М.:НИЦ ИНФРА-М,2025 - 210 с.(СПО)(п)</t>
  </si>
  <si>
    <t>ОБЩАЯ ТЕОРИЯ ВОСПИТАНИЯ</t>
  </si>
  <si>
    <t>Темина С.Ю.</t>
  </si>
  <si>
    <t>978-5-16-020313-3</t>
  </si>
  <si>
    <t>074540.12.01</t>
  </si>
  <si>
    <t>Общая теория статистики: Уч. пос. / С.Н.Лысенко - М.:ИД Форум, ИНФРА-М Изд. Дом,2025. - 208 с.-(СПО)(п)</t>
  </si>
  <si>
    <t>ОБЩАЯ ТЕОРИЯ СТАТИСТИКИ</t>
  </si>
  <si>
    <t>Лысенко С. Н., Дмитриева И. А.</t>
  </si>
  <si>
    <t>978-5-8199-0270-7</t>
  </si>
  <si>
    <t>Демография. Статистика</t>
  </si>
  <si>
    <t>056560.15.01</t>
  </si>
  <si>
    <t>Общая технология силикатов: Уч. / Л.М.Сулименко - М.:НИЦ ИНФРА-М,2026 - 336 с.(СПО)(О)</t>
  </si>
  <si>
    <t>ОБЩАЯ ТЕХНОЛОГИЯ СИЛИКАТОВ</t>
  </si>
  <si>
    <t>Сулименко Л. М.</t>
  </si>
  <si>
    <t>978-5-16-009741-1</t>
  </si>
  <si>
    <t>18.01.04, 18.01.06, 18.01.07, 18.01.08, 18.01.09, 18.01.10, 18.01.11, 18.01.12, 18.01.13, 18.01.14, 18.01.35, 18.02.05, 18.02.13, 18.02.14, 19.01.18</t>
  </si>
  <si>
    <t>Допущено Гос. комитетом РФ по строительству и жилищно-коммунальному комплексу в кач. учеб. для студ. сред. спец. учеб. зав., обуч. по спец. 2508 "Производство тугоплавких и силикатных материалов и изделий"</t>
  </si>
  <si>
    <t>Российский химико-технологический университет им. Д.И. Менделеева</t>
  </si>
  <si>
    <t>070700.18.01</t>
  </si>
  <si>
    <t>Общая экология: Уч. / М.В.Гальперин - 2 изд. - М.:Форум, НИЦ ИНФРА-М,2025 - 336 с.(СПО)(П)</t>
  </si>
  <si>
    <t>ОБЩАЯ ЭКОЛОГИЯ, ИЗД.2</t>
  </si>
  <si>
    <t>978-5-00091-469-4</t>
  </si>
  <si>
    <t>00.02.36, 00.02.37</t>
  </si>
  <si>
    <t>704211.05.01</t>
  </si>
  <si>
    <t>Общее недоразвитие речи. Алалия: Уч.мет.пос. / Е.А.Логинова - М.:НИЦ ИНФРА-М,2026. - 64 с.(СПО)(о)</t>
  </si>
  <si>
    <t>ОБЩЕЕ НЕДОРАЗВИТИЕ РЕЧИ. АЛАЛИЯ</t>
  </si>
  <si>
    <t>Логинова Е.А., Елецкая О.В.</t>
  </si>
  <si>
    <t>978-5-16-021377-4</t>
  </si>
  <si>
    <t>44.02.01, 44.02.02, 44.02.03, 44.02.04, 44.02.05</t>
  </si>
  <si>
    <t>734781.03.01</t>
  </si>
  <si>
    <t>Общеметодические аспекты обуч. в спец. обр. учр.: Уч.мет.пос. / М.В.Матвеева, - М.: НИЦ ИНФРА-М,2026 - 176 с.(СПО)(П)</t>
  </si>
  <si>
    <t>ОБЩЕМЕТОДИЧЕСКИЕ АСПЕКТЫ ОБУЧЕНИЯ В СПЕЦИАЛЬНЫХ ОБРАЗОВАТЕЛЬНЫХ УЧРЕЖДЕНИЯХ</t>
  </si>
  <si>
    <t>Матвеева М.В., Коршунова Т.В.</t>
  </si>
  <si>
    <t>978-5-16-021115-2</t>
  </si>
  <si>
    <t>44.02.01, 44.02.02, 44.02.03, 44.02.04, 44.02.05, 44.02.06, 49.02.01, 49.02.02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</si>
  <si>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44.02.05 «Коррекционная педагогика в начальном образовании» (протокол № 17 от 11.11.2019)</t>
  </si>
  <si>
    <t>730639.05.01</t>
  </si>
  <si>
    <t>Общественное здоровье и здравоохранение: Уч. / Н.М.Агарков - М.:НИЦ ИНФРА-М,2025 - 560 с(СПО)(П)</t>
  </si>
  <si>
    <t>ОБЩЕСТВЕННОЕ ЗДОРОВЬЕ И ЗДРАВООХРАНЕНИЕ</t>
  </si>
  <si>
    <t>Агарков Н.М., Гонтарев С.Н., Зубарева Н.Н. и др.</t>
  </si>
  <si>
    <t>978-5-16-015947-8</t>
  </si>
  <si>
    <t>31.02.01, 31.02.02, 31.02.06, 34.02.01, 34.02.02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</si>
  <si>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укрупненным группам специальностей 31.02.00 «Клиническая  медицина», 32.02.00 «Науки о здоровье и профилактическая медицина» (протокол № 8 от 22.06.2020)</t>
  </si>
  <si>
    <t>642886.09.01</t>
  </si>
  <si>
    <t>Обществознание: Уч. / В.В.Ковригин - М.:НИЦ ИНФРА-М,2025. - 303 с.-(СПО)(п)</t>
  </si>
  <si>
    <t>ОБЩЕСТВОЗНАНИЕ</t>
  </si>
  <si>
    <t>Ковригин В.В.</t>
  </si>
  <si>
    <t>978-5-16-012362-2</t>
  </si>
  <si>
    <t>Общественные науки в целом</t>
  </si>
  <si>
    <t>00.02.21</t>
  </si>
  <si>
    <t>Липецкий государственный педагогический университет им. П.П. Семенова-Тян-Шанского</t>
  </si>
  <si>
    <t>113500.15.01</t>
  </si>
  <si>
    <t>Обществознание: Уч. / В.О.Мушинский - М.:Форум, НИЦ ИНФРА-М,2018 - 320 с.-(СПО)(П)</t>
  </si>
  <si>
    <t>Мушинский В.О.</t>
  </si>
  <si>
    <t>978-5-00091-459-5</t>
  </si>
  <si>
    <t>141100.23.01</t>
  </si>
  <si>
    <t>Общий курс слесарного дела: Уч.пос. / В.Р.Карпицкий - 2 изд. - М.:НИЦ ИНФРА-М.,2026 - 400с.(СПО)(П)</t>
  </si>
  <si>
    <t>ОБЩИЙ КУРС СЛЕСАРНОГО ДЕЛА, ИЗД.2</t>
  </si>
  <si>
    <t>Карпицкий В.Р.</t>
  </si>
  <si>
    <t>978-5-16-004755-3</t>
  </si>
  <si>
    <t>15.01.35, 15.02.17, 23.01.03, 23.01.06, 23.01.07, 23.01.09, 23.02.07, 35.01.29</t>
  </si>
  <si>
    <t>Допущено Министерством образования Республики Беларусь в качестве учебного пособия для учащихся учреждений, обеспечивающих получение профессионально-технического образования по учебной специальности «Техническая эксплуатация оборудования»</t>
  </si>
  <si>
    <t>717829.08.01</t>
  </si>
  <si>
    <t>Объектно-ориентир. программир. с прим. на C#: Уч.пос. / П.Б.Хорев - М.:Форум, НИЦ ИНФРА-М,2026. - 200 с.(О)</t>
  </si>
  <si>
    <t>ОБЪЕКТНО-ОРИЕНТИРОВАННОЕ ПРОГРАММИРОВАНИЕ С ПРИМЕРАМИ НА C#</t>
  </si>
  <si>
    <t>Хорев П.Б.</t>
  </si>
  <si>
    <t>978-5-00091-713-8</t>
  </si>
  <si>
    <t>09.02.01, 09.02.02, 09.02.03, 09.02.04, 09.02.05, 09.02.06, 09.02.07, 10.02.01, 10.02.02, 10.02.03, 10.02.04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</si>
  <si>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09.02.00 «Информатика и вычислительная техника», 10.02.00 «Информационная безопасность» (протокол № 10 от 27.05.2019)</t>
  </si>
  <si>
    <t>769211.03.01</t>
  </si>
  <si>
    <t>Огневая подготовка: Уч. / К.Ю.Поспеев-М.:НИЦ ИНФРА-М,2024.-326 с.(СПО)(П)</t>
  </si>
  <si>
    <t>ОГНЕВАЯ ПОДГОТОВКА</t>
  </si>
  <si>
    <t>Поспеев К.Ю., Черных В.В.</t>
  </si>
  <si>
    <t>978-5-16-017356-6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</si>
  <si>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40.02.02 «Правоохранительная деятельность» (протокол № 6 от 08.06.2022)</t>
  </si>
  <si>
    <t>774848.03.01</t>
  </si>
  <si>
    <t>Огневая подготовка: Уч. / Т.С.Купавцев и др. - М.:НИЦ ИНФРА-М,2026. - 238 с.-(СПО)(п)</t>
  </si>
  <si>
    <t>Купавцев Т.С., Ульрих С.А., Моисеенко А.А. и др.</t>
  </si>
  <si>
    <t>978-5-16-019146-1</t>
  </si>
  <si>
    <t>Академия управления Министерства внутренних дел Российской Федерации</t>
  </si>
  <si>
    <t>682999.11.01</t>
  </si>
  <si>
    <t>Оздоровительные технологии физ.восп.и разв.ребенка дошк...: Уч. / Т.А.Семенова - М.:ИНФРА-М,2026 - 448 с.(СПО)(П)</t>
  </si>
  <si>
    <t>ОЗДОРОВИТЕЛЬНЫЕ ТЕХНОЛОГИИ ФИЗИЧЕСКОГО ВОСПИТАНИЯ И РАЗВИТИЯ РЕБЕНКА ДОШКОЛЬНОГО ВОЗРАСТА В ОБРАЗОВАТЕЛЬНЫХ ОРГАНИЗАЦИЯХ</t>
  </si>
  <si>
    <t>Семенова Т.А.</t>
  </si>
  <si>
    <t>978-5-16-013979-1</t>
  </si>
  <si>
    <t>44.02.01, 44.02.03, 44.02.04, 44.02.05, 49.02.01, 49.02.02, 49.02.03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</si>
  <si>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44.02.01 «Дошкольное образование», 44.02.03 «Педагогика дополнительного образования»</t>
  </si>
  <si>
    <t>797834.02.01</t>
  </si>
  <si>
    <t>Оказание мед. помощи женщинам в период..,: Уч.пос. / Е.А.Нижегородцева-М.:НИЦ ИНФРА-М,2024.-336 с.(п)</t>
  </si>
  <si>
    <t>ОКАЗАНИЕ МЕДИЦИНСКОЙ ПОМОЩИ ЖЕНЩИНАМ В ПЕРИОД БЕРЕМЕННОСТИ, В РОДАХ, ПОСЛЕРОДОВОМ ПЕРИОДЕ И У ЖЕНЩИН С РАСПРОСТРАНЕННЫМИ ГИНЕКОЛОГИЧЕСКИМИ ЗАБОЛЕВАНИЯ</t>
  </si>
  <si>
    <t>Нижегородцева Е.А.</t>
  </si>
  <si>
    <t>978-5-16-018223-0</t>
  </si>
  <si>
    <t>31.02.01, 31.02.02, 34.02.01, 34.02.02</t>
  </si>
  <si>
    <t>Иркутский базовый  медицинский колледж</t>
  </si>
  <si>
    <t>304500.09.01</t>
  </si>
  <si>
    <t>Оказание неотложной помощи в терапии: Уч.пос. / Г.Д.Тобулток - М.:НИЦ ИНФРА-М,2026. - 400 с.(СПО)(п)</t>
  </si>
  <si>
    <t>ОКАЗАНИЕ НЕОТЛОЖНОЙ ПОМОЩИ В ТЕРАПИИ</t>
  </si>
  <si>
    <t>Тобулток Г.Д., Иванова Н.А.</t>
  </si>
  <si>
    <t>978-5-16-016860-9</t>
  </si>
  <si>
    <t>31.02.01, 31.02.02, 32.02.01, 34.02.01, 34.02.02</t>
  </si>
  <si>
    <t>Рязанский медицинский колледж</t>
  </si>
  <si>
    <t>768888.04.01</t>
  </si>
  <si>
    <t>Оперативно-розыскная деят.: Уч. / А.Н.Халиков, - 2 изд. - М.:ИЦ РИОР, НИЦ ИНФРА-М,2025. - 346 с.(СПО)(п)</t>
  </si>
  <si>
    <t>ОПЕРАТИВНО-РОЗЫСКНАЯ ДЕЯТЕЛЬНОСТЬ, ИЗД.2</t>
  </si>
  <si>
    <t>Халиков А.Н.</t>
  </si>
  <si>
    <t>978-5-369-01954-2</t>
  </si>
  <si>
    <t>Рекомендовано в качестве учебника для студентов высших учебных заведений, обучающихся по направлению подготовки "Юриспруденция"</t>
  </si>
  <si>
    <t>Уфимский Университет Науки и Технологий</t>
  </si>
  <si>
    <t>768888.01.01</t>
  </si>
  <si>
    <t>Оперативно-розыскная деятельность: Уч. / А.Н.Халиков - М.:ИЦ РИОР, НИЦ ИНФРА-М,2022 - 326 с.(СПО)(П)</t>
  </si>
  <si>
    <t>ОПЕРАТИВНО-РОЗЫСКНАЯ ДЕЯТЕЛЬНОСТЬ</t>
  </si>
  <si>
    <t>978-5-369-01885-9</t>
  </si>
  <si>
    <t>104700.11.01</t>
  </si>
  <si>
    <t>Операции сбер. банков: Уч. пос. / О.М. Маркова - 2 изд. - ИД ФОРУМ: НИЦ ИНФРА-М, 2025 - 288 с.(ПО) (п)</t>
  </si>
  <si>
    <t>ОПЕРАЦИИ СБЕРЕГАТЕЛЬНЫХ БАНКОВ, ИЗД.2</t>
  </si>
  <si>
    <t>Маркова О.М.</t>
  </si>
  <si>
    <t>978-5-8199-0616-3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</si>
  <si>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специальности «Банковское дело»</t>
  </si>
  <si>
    <t>041930.28.01</t>
  </si>
  <si>
    <t>Операционные сис., среды и оболочки: Уч.пос. / Т.Л.Партыка - 5 изд. - М.:Форум, НИЦ ИНФРА-М,2025 - 560 с.(СПО)</t>
  </si>
  <si>
    <t>ОПЕРАЦИОННЫЕ СИСТЕМЫ, СРЕДЫ И ОБОЛОЧКИ, ИЗД.5</t>
  </si>
  <si>
    <t>978-5-00091-501-1</t>
  </si>
  <si>
    <t>09.01.03, 09.02.01, 09.02.02, 09.02.03, 09.02.04, 09.02.05, 09.02.06, 09.02.07, 09.02.08, 10.02.01, 10.02.02, 10.02.03, 10.02.04, 10.02.05</t>
  </si>
  <si>
    <t>678060.12.01</t>
  </si>
  <si>
    <t>Операционные системы и среды: Уч. для СПО / А.В.Рудаков - М.:КУРС, НИЦ ИНФРА-М,2026 - 304 с.(П)</t>
  </si>
  <si>
    <t>ОПЕРАЦИОННЫЕ СИСТЕМЫ И СРЕДЫ</t>
  </si>
  <si>
    <t>Рудаков А.В.</t>
  </si>
  <si>
    <t>978-5-906923-85-1</t>
  </si>
  <si>
    <t>09.01.03, 09.01.05, 09.02.01, 09.02.02, 09.02.03, 09.02.04, 09.02.05, 09.02.06, 09.02.07, 09.02.08, 10.02.01, 10.02.02, 10.02.03</t>
  </si>
  <si>
    <t>Петровский колледж</t>
  </si>
  <si>
    <t>683001.06.01</t>
  </si>
  <si>
    <t>Операционные системы. Основы UNIX: Уч.пос. / А.Б.Вавренюк - М.:НИЦ ИНФРА-М,2025 - 160 с. - (СПО)(П)</t>
  </si>
  <si>
    <t>ОПЕРАЦИОННЫЕ СИСТЕМЫ. ОСНОВЫ UNIX</t>
  </si>
  <si>
    <t>Вавренюк А.Б., Курышева О.К., Кутепов С.В. и др.</t>
  </si>
  <si>
    <t>978-5-16-013981-4</t>
  </si>
  <si>
    <t>09.02.01, 09.02.02, 09.02.03, 09.02.04, 09.02.05, 09.02.06, 09.02.07, 09.02.08, 10.02.01, 10.02.02, 10.02.03</t>
  </si>
  <si>
    <t>705270.06.01</t>
  </si>
  <si>
    <t>Организация безналичных расчетов: Уч. / А.А.Казимагомедов - М.:НИЦ ИНФРА-М,2024 - 212 с.(СПО)(П)</t>
  </si>
  <si>
    <t>ОРГАНИЗАЦИЯ БЕЗНАЛИЧНЫХ РАСЧЕТОВ</t>
  </si>
  <si>
    <t>Казимагомедов А.А.</t>
  </si>
  <si>
    <t>978-5-16-015118-2</t>
  </si>
  <si>
    <t>11.02.12, 38.02.07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</si>
  <si>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38.02.07 «Банковское дело» (протокол № 17 от 11.11.2019)</t>
  </si>
  <si>
    <t>693894.05.01</t>
  </si>
  <si>
    <t>Организация гостиничного дела: обеспеч. безоп.: Уч.пос. / Р.Н.Ушаков-М.:НИЦ ИНФРА-М,2025-136 с.(СПО)(о)</t>
  </si>
  <si>
    <t>ОРГАНИЗАЦИЯ ГОСТИНИЧНОГО ДЕЛА: ОБЕСПЕЧЕНИЕ БЕЗОПАСНОСТИ</t>
  </si>
  <si>
    <t>Ушаков Р.Н., Авилова Н.Л.</t>
  </si>
  <si>
    <t>978-5-16-014473-3</t>
  </si>
  <si>
    <t>Российский государственный социальный университет</t>
  </si>
  <si>
    <t>683002.07.01</t>
  </si>
  <si>
    <t>Организация гостиничного дела: Уч.пос. / С.А.Быстров - М.:Форум, НИЦ ИНФРА-М,2025 - 432 с.(СПО)(П)</t>
  </si>
  <si>
    <t>ОРГАНИЗАЦИЯ ГОСТИНИЧНОГО ДЕЛА</t>
  </si>
  <si>
    <t>Быстров С.А.</t>
  </si>
  <si>
    <t>978-5-00091-552-3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</si>
  <si>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43.02.11 «Гостиничный сервис» (протокол № 5 от 11.03.2019)</t>
  </si>
  <si>
    <t>Санкт-Петербургский государственный университет</t>
  </si>
  <si>
    <t>443500.04.01</t>
  </si>
  <si>
    <t>Организация деят. коммерческого банка: Уч./О.М.Маркова-М.:ИД ФОРУМ, НИЦ ИНФРА-М,2023.-496 с.(П)</t>
  </si>
  <si>
    <t>ОРГАНИЗАЦИЯ ДЕЯТЕЛЬНОСТИ КОММЕРЧЕСКОГО БАНКА</t>
  </si>
  <si>
    <t>МарковаО.М.</t>
  </si>
  <si>
    <t>978-5-8199-0638-5</t>
  </si>
  <si>
    <t>Рекомендовано в качестве учебника для студентов учреждений среднего профессионального образования, обучающихся по специальностям экономического профиля</t>
  </si>
  <si>
    <t>078550.12.01</t>
  </si>
  <si>
    <t>Организация и методика проф. обуч.: Уч.пос. / В.А.Скакун - 2 изд.-М.:Форум, НИЦ ИНФРА-М,2024.-336 с.(СПО)(П)</t>
  </si>
  <si>
    <t>ОРГАНИЗАЦИЯ И МЕТОДИКА ПРОФЕССИОНАЛЬНОГО ОБУЧЕНИЯ, ИЗД.2</t>
  </si>
  <si>
    <t>Скакун В. А.</t>
  </si>
  <si>
    <t>978-5-91134-707-9</t>
  </si>
  <si>
    <t>719114.01.01</t>
  </si>
  <si>
    <t>Организация и планир. деят. предпр. сферы сервиса: Уч.пос. / О.Н.Гукова-М.:Форум, НИЦ ИНФРА-М,2025-160с(о)</t>
  </si>
  <si>
    <t>ОРГАНИЗАЦИЯ И ПЛАНИРОВАНИЕ ДЕЯТЕЛЬНОСТИ ПРЕДПРИЯТИЙ СФЕРЫ СЕРВИСА</t>
  </si>
  <si>
    <t>Гукова О.Н.</t>
  </si>
  <si>
    <t>978-5-00091-716-9</t>
  </si>
  <si>
    <t>43.02.02, 43.02.17</t>
  </si>
  <si>
    <t>Академия труда и социальных отношений</t>
  </si>
  <si>
    <t>685029.08.01</t>
  </si>
  <si>
    <t>Организация и пров.эксперт. и оценки кач..: Уч. / М.А.Николаева - М.:Юр.Норма, НИЦ ИНФРА-М,2025 - 320 с.(СПО)(П)</t>
  </si>
  <si>
    <t>ОРГАНИЗАЦИЯ И ПРОВЕДЕНИЕ ЭКСПЕРТИЗЫ И ОЦЕНКИ КАЧЕСТВА ПРОДОВОЛЬСТВЕННЫХ ТОВАРОВ</t>
  </si>
  <si>
    <t>Николаева М.А., Карташова Л.В.</t>
  </si>
  <si>
    <t>978-5-91768-939-5</t>
  </si>
  <si>
    <t>703745.07.01</t>
  </si>
  <si>
    <t>Организация и содержание работы шк. логопеда: Уч.мет.пос. / О.В.Елецкая - М.:НИЦ ИНФРА-М,2025. - 192 с.(п)</t>
  </si>
  <si>
    <t>ОРГАНИЗАЦИЯ И СОДЕРЖАНИЕ РАБОТЫ ШКОЛЬНОГО ЛОГОПЕДА</t>
  </si>
  <si>
    <t>Елецкая О.В., Белозерцева Т.В., Розова Ю.Е. и др.</t>
  </si>
  <si>
    <t>978-5-16-020470-3</t>
  </si>
  <si>
    <t>44.00.00, 44.02.03, 44.02.04, 44.02.05</t>
  </si>
  <si>
    <t>640315.04.01</t>
  </si>
  <si>
    <t>Организация и тех. работы с конфиденц.документ.: Уч. / В.П.Зверева-М.:КУРС, НИЦ ИНФРА-М,2023-320с(П)</t>
  </si>
  <si>
    <t>ОРГАНИЗАЦИЯ И ТЕХНОЛОГИЯ РАБОТЫ С КОНФИДЕНЦИАЛЬНЫМИ ДОКУМЕНТАМИ</t>
  </si>
  <si>
    <t>Зверева В.П., Назаров А.В.</t>
  </si>
  <si>
    <t>978-5-906818-96-6</t>
  </si>
  <si>
    <t>10.02.01, 31.02.01, 46.02.01</t>
  </si>
  <si>
    <t>704323.10.01</t>
  </si>
  <si>
    <t>Организация и управ. деят.электросетевых предп.: Уч.пос. / В.Я.Хорольский - М.:НИЦ ИНФРА-М,2025 - 143 с.(о)</t>
  </si>
  <si>
    <t>ОРГАНИЗАЦИЯ И УПРАВЛЕНИЕ ДЕЯТЕЛЬНОСТЬЮ ЭЛЕКТРОСЕТЕВЫХ ПРЕДПРИЯТИЙ</t>
  </si>
  <si>
    <t>Хорольский В.Я., Таранов М.А., Жданов В.Г.</t>
  </si>
  <si>
    <t>978-5-16-017821-9</t>
  </si>
  <si>
    <t>11.02.06, 11.02.07, 11.02.09, 11.02.11, 11.02.13, 11.02.15, 11.02.17, 11.02.18, 13.01.10, 13.02.07, 13.02.12, 13.02.13, 35.01.15</t>
  </si>
  <si>
    <t>789234.03.01</t>
  </si>
  <si>
    <t>Организация и управление в строительстве: Уч.пос. / В.М.Серов - М.:НИЦ ИНФРА-М,2026 - 453 с.(СПО)(п)</t>
  </si>
  <si>
    <t>ОРГАНИЗАЦИЯ И УПРАВЛЕНИЕ В СТРОИТЕЛЬСТВЕ</t>
  </si>
  <si>
    <t>978-5-16-017979-7</t>
  </si>
  <si>
    <t>08.02.01, 08.02.02, 08.02.03, 08.02.04, 08.02.08, 08.02.09, 08.02.12, 08.02.13, 08.02.14, 23.02.08</t>
  </si>
  <si>
    <t>835170.01.01</t>
  </si>
  <si>
    <t>Организация игровой среды в обуч. и воспит. детей...: Уч.пос. / Пронина Л.В. - М.:НИЦ ИНФРА-М,2025. - 176 с.(п)</t>
  </si>
  <si>
    <t>ОРГАНИЗАЦИЯ ИГРОВОЙ СРЕДЫ В ОБУЧЕНИИ И ВОСПИТАНИИ ДЕТЕЙ РАННЕГО ВОЗРАСТА С НАРУШЕНИЕМ ИНТЕЛЛЕКТА</t>
  </si>
  <si>
    <t>Пронина Л.В., Кремнева Е.А., Липатова О.Н. и др.</t>
  </si>
  <si>
    <t>978-5-16-020380-5</t>
  </si>
  <si>
    <t>44.02.04, 44.02.05</t>
  </si>
  <si>
    <t>250100.08.01</t>
  </si>
  <si>
    <t>Организация контроля качества зерна: Уч.пос. / Т.В.Устименко - М.: ИЦ РИОР:НИЦ ИНФРА-М,2025 - 224 с.(п)</t>
  </si>
  <si>
    <t>ОРГАНИЗАЦИЯ КОНТРОЛЯ КАЧЕСТВА ЗЕРНА</t>
  </si>
  <si>
    <t>Устименко Т.В.</t>
  </si>
  <si>
    <t>978-5-369-01313-7</t>
  </si>
  <si>
    <t>19.01.18, 19.01.19, 19.02.10, 19.02.11, 19.02.13, 27.02.02, 27.02.07, 35.01.12, 35.01.23, 35.01.26, 35.01.27, 35.02.05, 43.02.15</t>
  </si>
  <si>
    <t>703980.04.01</t>
  </si>
  <si>
    <t>Организация кредитной работы: Уч. / А.А.Казимагомедов - М.:НИЦ ИНФРА-М,2025 - 198 с.(СПО)(П)</t>
  </si>
  <si>
    <t>ОРГАНИЗАЦИЯ КРЕДИТНОЙ РАБОТЫ</t>
  </si>
  <si>
    <t>978-5-16-015144-1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</si>
  <si>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38.02.07 «Банковское дело» (протокол № 11 от 09.11.2020)</t>
  </si>
  <si>
    <t>684823.04.01</t>
  </si>
  <si>
    <t>Организация кредитования в коммерч. банке: Уч.пос./Н.В.Горелая-М.:ИД ФОРУМ, НИЦ ИНФРА-М,2025-208с(П)</t>
  </si>
  <si>
    <t>ОРГАНИЗАЦИЯ КРЕДИТОВАНИЯ В КОММЕРЧЕСКОМ БАНКЕ</t>
  </si>
  <si>
    <t>Горелая Н.В.</t>
  </si>
  <si>
    <t>978-5-8199-0808-2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</si>
  <si>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38.02.06 «Финансы», 38.02.07 «Банковское дело»</t>
  </si>
  <si>
    <t>Национальный исследовательский университет "Высшая школа экономики", ф-л Санкт-Петербург</t>
  </si>
  <si>
    <t>726999.04.01</t>
  </si>
  <si>
    <t>Организация обр. деят. в ДОО. Пример. план. Ст.группа (5-6 л.): Уч.мет.пос. / Л.Л.Тимофеева.-М.:НИЦ ИНФРА-М,2025-298с(П)</t>
  </si>
  <si>
    <t>ОРГАНИЗАЦИЯ ОБРАЗОВАТЕЛЬНОЙ ДЕЯТЕЛЬНОСТИ В ДОО. ПРИМЕРНОЕ ПЛАНИРОВАНИЕ. СТАРШАЯ ГРУППА (5-6 ЛЕТ)</t>
  </si>
  <si>
    <t>Тимофеева Л.Л., Корнеичева Е.Е., Грачева Н.И. и др.</t>
  </si>
  <si>
    <t>978-5-16-015962-1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</si>
  <si>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44.02.01 «Дошкольное образование» (протокол №4 от 02.03.2020)</t>
  </si>
  <si>
    <t>Институт развития образования, Орловская область</t>
  </si>
  <si>
    <t>727008.04.01</t>
  </si>
  <si>
    <t>Организация образ. деят. в ДОО. Прим. планир...: Уч.мет.пос. / Л.Л.Тимофеева - М.:НИЦ ИНФРА-М,2025 - 322 с.(П)</t>
  </si>
  <si>
    <t>ОРГАНИЗАЦИЯ ОБРАЗОВАТЕЛЬНОЙ ДЕЯТЕЛЬНОСТИ В ДОО. ПРИМЕРНОЕ ПЛАНИРОВАНИЕ. СРЕДНЯЯ ГРУППА (4-5 ЛЕТ)</t>
  </si>
  <si>
    <t>978-5-16-014063-6</t>
  </si>
  <si>
    <t>727022.06.01</t>
  </si>
  <si>
    <t>Организация образ. деят. в ДОО...: Уч.мет.пос. / Л.Л.Тимофеева. - М.:НИЦ ИНФРА-М,2026 - 323 с.(П)</t>
  </si>
  <si>
    <t>ОРГАНИЗАЦИЯ ОБРАЗОВАТЕЛЬНОЙ ДЕЯТЕЛЬНОСТИ В ДОО. ПРИМЕРНОЕ ПЛАНИРОВАНИЕ. ВТОРАЯ МЛАДШАЯ ГРУППА (3-4 ГОДА)</t>
  </si>
  <si>
    <t>978-5-16-015960-7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</si>
  <si>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44.02.01 «Дошкольное образование» (протокол № 4 от 02.03.2020)</t>
  </si>
  <si>
    <t>727013.05.01</t>
  </si>
  <si>
    <t>Организация образоват. деят. в ДОО..: Уч.метод.пос. / Л.Л.Тимофеева - М.:ИНФРА-М,2025 - 337 с.(П)</t>
  </si>
  <si>
    <t>ОРГАНИЗАЦИЯ ОБРАЗОВАТЕЛЬНОЙ ДЕЯТЕЛЬНОСТИ В ДОО. ПРИМЕРНОЕ ПЛАНИРОВАНИЕ. ПОДГОТОВИТЕЛЬНАЯ К ШКОЛЕ ГРУППА (6-7 ЛЕТ)</t>
  </si>
  <si>
    <t>978-5-16-015961-4</t>
  </si>
  <si>
    <t>674626.05.01</t>
  </si>
  <si>
    <t>Организация образовательной деят. в ДОО...: Уч.мет.пос./ Л.Л.Тимофеева - М.:НИЦ ИНФРА-М.2025-288c(П)</t>
  </si>
  <si>
    <t>ОРГАНИЗАЦИЯ ОБРАЗОВАТЕЛЬНОЙ ДЕЯТЕЛЬНОСТИ В ДОО. ПРИМЕРНОЕ ПЛАНИРОВАНИЕ. ПЕРВАЯ МЛАДШАЯ ГРУППА (2-3 ГОДА)</t>
  </si>
  <si>
    <t>978-5-16-016102-0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</si>
  <si>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 44.02.01 «Дошкольное образование» (протокол  №  8 от 22.06.2020)</t>
  </si>
  <si>
    <t>631780.10.01</t>
  </si>
  <si>
    <t>Организация обслуживания на предп. общ. питания: Уч. / Е.Б.Мрыхина - М.:ИД ФОРУМ, НИЦ ИНФРА-М,2023-417с(П)</t>
  </si>
  <si>
    <t>ОРГАНИЗАЦИЯ ОБСЛУЖИВАНИЯ НА ПРЕДПРИЯТИЯХ ОБЩЕСТВЕННОГО ПИТАНИЯ</t>
  </si>
  <si>
    <t>Мрыхина Е.Б.</t>
  </si>
  <si>
    <t>978-5-8199-0822-8</t>
  </si>
  <si>
    <t>15.02.01, 18.01.03, 18.01.26, 18.01.35, 18.02.04, 18.02.07, 18.02.09, 18.02.11, 18.02.14, 18.02.15, 19.01.09, 19.01.18, 19.01.19, 19.02.10, 19.02.11, 19.02.12, 19.02.13, 19.02.14, 35.02.18, 43.01.01, 43.01.04, 43.01.09, 43.02.01, 43.02.15, 43.02.16</t>
  </si>
  <si>
    <t>Рекомендовано в качестве учебника для учебных заведений, реализующих программу среднего профессионального образования по специальности 43.02.01 «Организация обслуживания в общественном питании»</t>
  </si>
  <si>
    <t>703024.04.01</t>
  </si>
  <si>
    <t>Организация общего и спец. делопроизводства..: Уч.пос. / С.Ю.Кабашов-М.:НИЦ ИНФРА-М,2023-421 с.-(СПО)</t>
  </si>
  <si>
    <t>ОРГАНИЗАЦИЯ ОБЩЕГО И СПЕЦИАЛЬНОГО ДЕЛОПРОИЗВОДСТВА В ОРГАНАХ МЕСТНОГО САМОУПРАВЛЕНИЯ</t>
  </si>
  <si>
    <t>Кабашов С.Ю.</t>
  </si>
  <si>
    <t>978-5-16-014860-1</t>
  </si>
  <si>
    <t>23.02.07, 38.01.01, 40.02.04, 46.01.02, 46.01.03, 46.02.01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</si>
  <si>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46.02.01 «Документационное обеспечение управления и архивоведение»</t>
  </si>
  <si>
    <t>Башкирская академия государственной службы и управления при Главе Республики Башкортостан</t>
  </si>
  <si>
    <t>713000.08.01</t>
  </si>
  <si>
    <t>Организация предпринимат. деятельности: Уч.пос./ Г.А.Яковлев, - 2 изд. - М.:НИЦ ИНФРА-М,2025 - 313 с.(П)</t>
  </si>
  <si>
    <t>ОРГАНИЗАЦИЯ ПРЕДПРИНИМАТЕЛЬСКОЙ ДЕЯТЕЛЬНОСТИ, ИЗД.2</t>
  </si>
  <si>
    <t>Яковлев Г.А.</t>
  </si>
  <si>
    <t>978-5-16-015386-5</t>
  </si>
  <si>
    <t>Рекомендовано Межрегиональным учебно-методическим советом профессионального образования в качестве учебного пособия для студентов, обучающихся по основным образовательным программам среднего профессионального образования (протокол № 10 от 27.05.2019)</t>
  </si>
  <si>
    <t>119950.07.01</t>
  </si>
  <si>
    <t>Организация предприятий сервиса: Практикум / О.Н. Гукова - М.:Форум:ИНФРА-М,2024-384с.(ПО) (п)</t>
  </si>
  <si>
    <t>ОРГАНИЗАЦИЯ ПРЕДПРИЯТИЙ СЕРВИСА</t>
  </si>
  <si>
    <t>Гукова О.Н., Петрова А.М.</t>
  </si>
  <si>
    <t>978-5-91134-367-5</t>
  </si>
  <si>
    <t>08.02.14, 43.01.11, 43.02.01, 43.02.02, 43.02.06, 43.02.07, 43.02.09, 43.02.11, 43.02.16, 43.02.17</t>
  </si>
  <si>
    <t>262600.12.01</t>
  </si>
  <si>
    <t>Организация продаж гостиничного продукта: Уч.пос. / Е.И.Мазилкина - М.:НИЦ ИНФРА-М,2025 - 207 с.(СПО)(П)</t>
  </si>
  <si>
    <t>ОРГАНИЗАЦИЯ ПРОДАЖ ГОСТИНИЧНОГО ПРОДУКТА</t>
  </si>
  <si>
    <t>Мазилкина Е. И.</t>
  </si>
  <si>
    <t>978-5-16-014060-5</t>
  </si>
  <si>
    <t>Рекомендовано федеральным государственным бюджетным образовательным учреждением высшего образования «Государственный университет управления» в качестве учебного пособия для студентов средних учебных заведений, обучающихся по специальности 43.02.11 «Гостиничный сервис»</t>
  </si>
  <si>
    <t>081650.18.01</t>
  </si>
  <si>
    <t>Организация произв. на предпр. общ. питания: Уч.пос. / Е.Б.Мрыхина -М:ФОРУМ,ИНФРА-М,2024-176с(СПО)(П)</t>
  </si>
  <si>
    <t>ОРГАНИЗАЦИЯ ПРОИЗВОДСТВА НА ПРЕДПРИЯТИЯХ ОБЩЕСТВЕННОГО ПИТАНИЯ</t>
  </si>
  <si>
    <t>Мрыхина Е. Б.</t>
  </si>
  <si>
    <t>978-5-8199-0858-7</t>
  </si>
  <si>
    <t>15.02.01, 18.01.03, 18.01.26, 18.01.35, 18.02.04, 18.02.07, 18.02.09, 18.02.11, 18.02.14, 18.02.15, 19.01.09, 19.01.18, 19.01.19, 19.02.11, 19.02.12, 19.02.13, 19.02.14, 35.01.23, 35.02.18, 38.02.01, 38.02.03, 38.02.08, 43.01.01, 43.01.04, 43.01.09, 43.02.15</t>
  </si>
  <si>
    <t>719247.05.01</t>
  </si>
  <si>
    <t>Организация производ. и управ. предпр. Уч. / Под ред. Туровеца О.Г. - 3 изд.-М.:НИЦ ИНФРА-М,2024.-506 с.(СПО)(П)</t>
  </si>
  <si>
    <t>ОРГАНИЗАЦИЯ ПРОИЗВОДСТВА И УПРАВЛЕНИЕ ПРЕДПРИЯТИЕМ, ИЗД.3</t>
  </si>
  <si>
    <t>Туровец О.Г., Родионова В.Н., Попов В.Н. и др.</t>
  </si>
  <si>
    <t>978-5-16-015612-5</t>
  </si>
  <si>
    <t>08.01.22, 08.01.23, 08.02.01, 11.02.06, 11.02.07, 11.02.09, 11.02.11, 11.02.13, 11.02.15, 11.02.17, 11.02.18, 12.02.03, 13.02.01, 13.02.07, 13.02.08, 13.02.12, 13.02.13, 14.02.01, 14.02.02, 15.01.29, 15.02.01, 15.02.04, 15.02.16, 15.02.17, 15.02.19, 18.02.04, 18.02.05, 18.02.07, 18.02.10, 18.02.12, 18.02.13, 18.02.14, 18.02.15, 19.02.10, 19.02.11, 19.02.12, 19.02.13, 19.02.14, 21.02.09, 21.02.13, 21.02.14, 21.02.16, 21.02.20, 22.02.08, 24.02.01, 24.02.02, 26.02.01, 26.02.02, 26.02.05, 29.02.02, 35.01.05, 35.02.10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</si>
  <si>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укрупненным группам технических и экономических специальностей (протокол № 5 от 26.03.2020)</t>
  </si>
  <si>
    <t>Воронежский государственный технический университет</t>
  </si>
  <si>
    <t>689634.05.01</t>
  </si>
  <si>
    <t>Организация производ. хлебобулоч. изделий: Уч.пос. / Е.В.Постникова - М.:НИЦ ИНФРА-М,2026 - 216 с.(СПО)(п)</t>
  </si>
  <si>
    <t>ОРГАНИЗАЦИЯ ПРОИЗВОДСТВА ХЛЕБОБУЛОЧНЫХ ИЗДЕЛИЙ</t>
  </si>
  <si>
    <t>Постникова Е.В.</t>
  </si>
  <si>
    <t>978-5-16-014650-8</t>
  </si>
  <si>
    <t>19.01.18, 19.02.11, 19.02.13, 43.01.04, 43.01.09, 43.02.15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</si>
  <si>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43.02.15 «Поварское и кондитерское дело», 19.02.03 «Технология хлеба, кондитерских и макаронных изделий», 19.02.10 «Технология продукции общественного питания» (протокол № 8 от 19.10.2022)</t>
  </si>
  <si>
    <t>719409.04.01</t>
  </si>
  <si>
    <t>Организация производства: Уч.пос. / В.Д.Сыров - М.:ИЦ РИОР, НИЦ ИНФРА-М,2025 - 283 с.(СПО)(П)</t>
  </si>
  <si>
    <t>ОРГАНИЗАЦИЯ ПРОИЗВОДСТВА</t>
  </si>
  <si>
    <t>Сыров В.Д.</t>
  </si>
  <si>
    <t>978-5-369-01824-8</t>
  </si>
  <si>
    <t>Владимирский государственный университет им. А.Г. и Н.Г. Столетовых</t>
  </si>
  <si>
    <t>777753.02.01</t>
  </si>
  <si>
    <t>Организация процес. приготов. слож. холод. кулинар. прод.: Уч.пос. / И.В.Эйдук - М.:НИЦ ИНФРА-М,2025 - 303 с.(п)</t>
  </si>
  <si>
    <t>ОРГАНИЗАЦИЯ ПРОЦЕССА ПРИГОТОВЛЕНИЯ СЛОЖНОЙ ХОЛОДНОЙ КУЛИНАРНОЙ ПРОДУКЦИИ</t>
  </si>
  <si>
    <t>Эйдук И.В.</t>
  </si>
  <si>
    <t>978-5-16-017757-1</t>
  </si>
  <si>
    <t>19.01.18, 19.01.19, 19.02.10, 19.02.12, 19.02.13, 35.01.23, 35.02.10, 43.01.04, 43.01.09, 43.02.15</t>
  </si>
  <si>
    <t>Политехнический техникум № 47 имени В.Г. Федорова</t>
  </si>
  <si>
    <t>794942.01.01</t>
  </si>
  <si>
    <t>Организация процессов пригот. и пригот. полуфабр...: Уч.пос./ И.У.Кусова - М.:НИЦ ИНФРА-М,2025.-179 с.(СПО)(п)</t>
  </si>
  <si>
    <t>ОРГАНИЗАЦИЯ ПРОЦЕССОВ ПРИГОТОВЛЕНИЯ И ПРИГОТОВЛЕНИЕ ПОЛУФАБРИКАТОВ ДЛЯ СЛОЖНОЙ КУЛИНАРНОЙ ПРОДУКЦИИ</t>
  </si>
  <si>
    <t>Кусова И.У., Федотова Н.А., Ильдирова С.К. и др.</t>
  </si>
  <si>
    <t>978-5-16-018151-6</t>
  </si>
  <si>
    <t>19.01.19, 19.02.10</t>
  </si>
  <si>
    <t>775343.05.01</t>
  </si>
  <si>
    <t>Организация работ по благоустройству общего имущ...: Уч. / В.Б.Акимов - М.:НИЦ ИНФРА-М,2026. - 235 с.(п)</t>
  </si>
  <si>
    <t>ОРГАНИЗАЦИЯ РАБОТ ПО БЛАГОУСТРОЙСТВУ ОБЩЕГО ИМУЩЕСТВА МНОГОКВАРТИРНОГО ДОМА</t>
  </si>
  <si>
    <t>Акимов В.Б., Комков В.А., Тимахова Н.С.</t>
  </si>
  <si>
    <t>978-5-16-017623-9</t>
  </si>
  <si>
    <t>08.02.13, 08.02.14, 08.02.15, 42.02.08</t>
  </si>
  <si>
    <t>711556.01.01</t>
  </si>
  <si>
    <t>Организация ремонта автомобилей: курс. проектир.: Уч. / К.А.Давдиев - М.:НИЦ ИНФРА-М,2025. - 256 с.(СПО)(п)</t>
  </si>
  <si>
    <t>ОРГАНИЗАЦИЯ РЕМОНТА АВТОМОБИЛЕЙ: КУРСОВОЕ ПРОЕКТИРОВАНИЕ</t>
  </si>
  <si>
    <t>Давдиев К.А., Омаров А.З.</t>
  </si>
  <si>
    <t>978-5-16-015499-2</t>
  </si>
  <si>
    <t>Автомобильно-дорожный колледж республики Дагестан</t>
  </si>
  <si>
    <t>699516.06.01</t>
  </si>
  <si>
    <t>Организация ресурсоснаб. жилищно-коммунал. хоз.: Уч.пос. / В.Н.Шитов - М.:НИЦ ИНФРА-М,2026. - 309 с.(СПО)(П)</t>
  </si>
  <si>
    <t>ОРГАНИЗАЦИЯ РЕСУРСОСНАБЖЕНИЯ ЖИЛИЩНО-КОММУНАЛЬНОГО ХОЗЯЙСТВА</t>
  </si>
  <si>
    <t>978-5-16-014757-4</t>
  </si>
  <si>
    <t>08.01.29, 08.02.14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</si>
  <si>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43.02.08 «Сервис домашнего и коммунального хозяйства» (протокол № 8 от 22.06.2020)</t>
  </si>
  <si>
    <t>695078.06.01</t>
  </si>
  <si>
    <t>Организация сельскохоз. производства: Уч. / Под ред. Тушканова М.П. - М.:НИЦ ИНФРА-М,2026 - 292 с.(СПО)(П)</t>
  </si>
  <si>
    <t>ОРГАНИЗАЦИЯ СЕЛЬСКОХОЗЯЙСТВЕННОГО ПРОИЗВОДСТВА</t>
  </si>
  <si>
    <t>Тушканов М.П., Грядов С.И., Пастухов А.К. и др.</t>
  </si>
  <si>
    <t>978-5-16-014538-9</t>
  </si>
  <si>
    <t>35.02.05, 35.02.07, 35.02.16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</si>
  <si>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укрупненной группе специальностей 35.02.00 «Сельское хозяйство»</t>
  </si>
  <si>
    <t>354000.10.01</t>
  </si>
  <si>
    <t>Организация сетевого администрирования: Уч. / А.И.Баранчиков. - М.:КУРС, НИЦ ИНФРА-М,2026 - 384 с.(СПО)(П)</t>
  </si>
  <si>
    <t>ОРГАНИЗАЦИЯ СЕТЕВОГО АДМИНИСТРИРОВАНИЯ</t>
  </si>
  <si>
    <t>Баранчиков А.И., Баранчиков П.А., Громов А.Ю. и др.</t>
  </si>
  <si>
    <t>978-5-906818-34-8</t>
  </si>
  <si>
    <t>09.01.04, 09.01.05, 09.02.02, 09.02.06, 10.02.03, 11.02.15</t>
  </si>
  <si>
    <t>832810.02.01</t>
  </si>
  <si>
    <t>Организация строительного производства: Уч. / В.М.Серов - М.:НИЦ ИНФРА-М,2026. - 281 с.(СПО)(п)</t>
  </si>
  <si>
    <t>ОРГАНИЗАЦИЯ СТРОИТЕЛЬНОГО ПРОИЗВОДСТВА</t>
  </si>
  <si>
    <t>978-5-16-020004-0</t>
  </si>
  <si>
    <t>07.02.01, 08.02.01, 08.02.02, 08.02.03, 08.02.08, 08.02.13, 08.02.14</t>
  </si>
  <si>
    <t>222800.16.01</t>
  </si>
  <si>
    <t>Организация торговли: Уч. / С.И.Жулидов, - 2 изд. - М.:НИЦ ИНФРА-М,2026. - 350 с.(СПО)(п)</t>
  </si>
  <si>
    <t>ОРГАНИЗАЦИЯ ТОРГОВЛИ, ИЗД.2</t>
  </si>
  <si>
    <t>Жулидов С.И.</t>
  </si>
  <si>
    <t>978-5-16-021352-1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</si>
  <si>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38.02.05 «Товароведение и экспертиза качества потребительских товаров», 38.02.04 «Коммерция (пр отраслям)» (протокол № 3 от 17.02.2020)</t>
  </si>
  <si>
    <t>222800.07.01</t>
  </si>
  <si>
    <t>Организация торговли: Уч. / С.И.Жулидов-М.:ИД ФОРУМ, НИЦ ИНФРА-М,2018.-352 с..-(СПО)(П)</t>
  </si>
  <si>
    <t>ОРГАНИЗАЦИЯ ТОРГОВЛИ</t>
  </si>
  <si>
    <t>Жулидов С. И.</t>
  </si>
  <si>
    <t>978-5-8199-0748-1</t>
  </si>
  <si>
    <t>Рекомендовано УМК в качестве учебника для студентов средних специальных учебных заведений, обучающихся по специальностям 38.02.04 «Коммерция» и 38.02.05 «Товароведение и экспертиза качества потребительских товаров»</t>
  </si>
  <si>
    <t>684807.05.01</t>
  </si>
  <si>
    <t>Организация туристской деятельности...: Уч.пос. / С.А.Быстров - М.:Форум, НИЦ ИНФРА-М,2026. - 399 с.(П)</t>
  </si>
  <si>
    <t>ОРГАНИЗАЦИЯ ТУРИСТСКОЙ ДЕЯТЕЛЬНОСТИ. УПРАВЛЕНИЕ ТУРФИРМОЙ</t>
  </si>
  <si>
    <t>978-5-00091-589-9</t>
  </si>
  <si>
    <t>Рекомендовано Межрегиональным учебно-методическим советом профессионального образования в качестве учебного пособия  для учебных заведений, реализующих программу среднего профессионального образования по специальности 43.02.10 «Туризм» (протокол № 9 от 28.09.2020)</t>
  </si>
  <si>
    <t>776673.01.01</t>
  </si>
  <si>
    <t>Организация хранения и контроль запас. и сырья: Уч. / А.Т.Васюкова - М.:НИЦ ИНФРА-М,2025. - 278 с.(СПО)(п)</t>
  </si>
  <si>
    <t>ОРГАНИЗАЦИЯ ХРАНЕНИЯ И КОНТРОЛЬ ЗАПАСОВ И СЫРЬЯ</t>
  </si>
  <si>
    <t>Васюкова А.Т.</t>
  </si>
  <si>
    <t>978-5-16-018050-2</t>
  </si>
  <si>
    <t>19.02.10, 43.02.15</t>
  </si>
  <si>
    <t>Российский государственный университет народного хозяйства им. В.И.Вернадского</t>
  </si>
  <si>
    <t>281200.10.01</t>
  </si>
  <si>
    <t>Органическая химия. Краткий курс: Уч.пос. / В.Г.Иванов - М.:КУРС,НИЦ ИНФРА-М,2022 - 222 с.(О)</t>
  </si>
  <si>
    <t>ОРГАНИЧЕСКАЯ ХИМИЯ. КРАТКИЙ КУРС</t>
  </si>
  <si>
    <t>Иванов В.Г., Гева О.Н.</t>
  </si>
  <si>
    <t>978-5-905554-61-2</t>
  </si>
  <si>
    <t>18.01.16, 18.01.17, 18.01.26, 18.01.30, 18.01.31, 18.02.02, 18.02.07, 43.01.08, 43.02.07</t>
  </si>
  <si>
    <t>660120.03.01</t>
  </si>
  <si>
    <t>Ортогональные проекции и 3D-моделир. в стереометрии: Уч.пос. / Л.Р.Юренкова - М.:НИЦ ИНФРА-М,2026 - 130 с.(о)</t>
  </si>
  <si>
    <t>ОРТОГОНАЛЬНЫЕ ПРОЕКЦИИ И 3D-МОДЕЛИРОВАНИЕ В СТЕРЕОМЕТРИИ</t>
  </si>
  <si>
    <t>Юренкова Л.Р.</t>
  </si>
  <si>
    <t>978-5-16-014768-0</t>
  </si>
  <si>
    <t>00.02.03, 00.02.31, 27.02.05, 55.02.02, 09.02.10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</si>
  <si>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техническим специальностям (протокол № 15 от 14.10.2019)</t>
  </si>
  <si>
    <t>111750.07.01</t>
  </si>
  <si>
    <t>Осветительные установки промыш. и гражданских..: Уч.пос. / В.П.Шеховцов - М.:НИЦ ИНФРА-М,2026. - 158 с.(СПО)(о)</t>
  </si>
  <si>
    <t>ОСВЕТИТЕЛЬНЫЕ УСТАНОВКИ ПРОМЫШЛЕННЫХ И ГРАЖДАНСКИХ ОБЪЕКТОВ</t>
  </si>
  <si>
    <t>978-5-16-021201-2</t>
  </si>
  <si>
    <t>08.02.09, 08.02.14, 13.02.09, 13.02.12</t>
  </si>
  <si>
    <t>364300.08.01</t>
  </si>
  <si>
    <t>Основные положения информац. безоп.: Уч.пос. / В.Я.Ищейнов-М.:Форум, НИЦ ИНФРА-М,2024.-208 с.(СПО)(П)</t>
  </si>
  <si>
    <t>ОСНОВНЫЕ ПОЛОЖЕНИЯ ИНФОРМАЦИОННОЙ БЕЗОПАСНОСТИ</t>
  </si>
  <si>
    <t>Ищейнов В.Я., Мецатунян М.В.</t>
  </si>
  <si>
    <t>978-5-00091-489-2</t>
  </si>
  <si>
    <t>09.02.02, 09.02.04, 09.02.05, 10.02.01, 10.02.02, 10.02.03, 10.02.04, 10.02.05, 11.02.18</t>
  </si>
  <si>
    <t>Рекомендовано в качестве учебного пособия для студентов среднего профессионального образования, обучающихся по специальности 10.02.01 «Организация и технология защиты информации»</t>
  </si>
  <si>
    <t>Политехнический колледж № 8 имени дважды Героя Советского Союза И.Ф. Павлова</t>
  </si>
  <si>
    <t>693069.06.01</t>
  </si>
  <si>
    <t>Основы автоматизир.проектир.: Уч. / Под ред. Карпенко А.П. - М.:НИЦ ИНФРА-М,2025 - 329 с.(СПО)(П)</t>
  </si>
  <si>
    <t>ОСНОВЫ АВТОМАТИЗИРОВАННОГО ПРОЕКТИРОВАНИЯ</t>
  </si>
  <si>
    <t>Божко А.Н., Волосатова Т.М., Грошев С.В. и др.</t>
  </si>
  <si>
    <t>978-5-16-014441-2</t>
  </si>
  <si>
    <t>09.02.01, 09.02.02, 09.02.03, 09.02.04, 09.02.06, 09.02.07, 09.02.08, 09.02.09, 24.02.01, 09.02.10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</si>
  <si>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укрупненной группы специальностей 09.02.00 «Информатика и вычислительная техника»</t>
  </si>
  <si>
    <t>684806.07.01</t>
  </si>
  <si>
    <t>Основы агрономии: Уч.пос. / Ю.В.Евтефеев - М.:Форум, НИЦ ИНФРА-М,2025 - 367 с.(СПО)(П)</t>
  </si>
  <si>
    <t>ОСНОВЫ АГРОНОМИИ</t>
  </si>
  <si>
    <t>Евтефеев Ю.В., Казанцев Г.М.</t>
  </si>
  <si>
    <t>978-5-00091-588-2</t>
  </si>
  <si>
    <t>19.02.11, 19.02.12, 20.02.01, 35.01.26, 35.01.27, 35.02.01, 35.02.05, 35.02.07, 35.02.09, 35.02.12, 35.02.16, 36.01.02, 43.01.11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</si>
  <si>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укрупненным группам специальностей 35.02.00 «Сельское хозяйство» и 36.02.00 «Ветеринария и зоотехния»</t>
  </si>
  <si>
    <t>636941.06.01</t>
  </si>
  <si>
    <t>Основы алгоритм. и програм.(среда PascalABC.Net): Уч.пос./ И.Г.Фризен-М.:Форум,НИЦ ИНФРА-М,2023-392с</t>
  </si>
  <si>
    <t>ОСНОВЫ АЛГОРИТМИЗАЦИИ И ПРОГРАММИРОВАНИЯ (СРЕДА PASCALABC.NET)</t>
  </si>
  <si>
    <t>Фризен И.Г.</t>
  </si>
  <si>
    <t>978-5-00091-005-4</t>
  </si>
  <si>
    <t>08.02.15, 09.02.01, 09.02.03, 09.02.04, 09.02.05, 09.02.06, 09.02.07, 09.02.08, 09.02.09, 10.02.02, 10.02.03, 10.02.04, 10.02.05, 27.02.01, 55.02.01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</si>
  <si>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специальностям 09.02.04 «Информационные системы (по отраслям)» 09.02.03 «Программирование в компьютерных системах»</t>
  </si>
  <si>
    <t>Московский автомобильно-дорожный колледж им. А.А. Николаева</t>
  </si>
  <si>
    <t>680933.04.01</t>
  </si>
  <si>
    <t>Основы алгоритм. и программир. на языке Microsoft Visual Basic: Уч.пос. / С.Р.Гуриков - М.:НИЦ ИНФРА-М,2025 - 594 с.(СПО)(П)</t>
  </si>
  <si>
    <t>ОСНОВЫ АЛГОРИТМИЗАЦИИ И ПРОГРАММИРОВАНИЯ НА ЯЗЫКЕ MICROSOFT VISUAL BASIC</t>
  </si>
  <si>
    <t>978-5-16-014442-9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</si>
  <si>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09.02.00 «Информатика и вычислительная техника», 10.02.00 «Информационная безопасность» (протокол № 12 от 24.06.2019)</t>
  </si>
  <si>
    <t>775949.01.01</t>
  </si>
  <si>
    <t>Основы алгоритм. и программир. Практ.: Уч.пос. / С.Г.Канакова - М.:НИЦ ИНФРА-М,2025. - 243 с.(СПО)(п)</t>
  </si>
  <si>
    <t>ОСНОВЫ АЛГОРИТМИЗАЦИИ И ПРОГРАММИРОВАНИЯ. ПРАКТИКУМ</t>
  </si>
  <si>
    <t>978-5-16-017684-0</t>
  </si>
  <si>
    <t>683004.11.01</t>
  </si>
  <si>
    <t>Основы алгоритмизации и программир. на Python: Уч.пос. / С.Р.Гуриков - М.:НИЦ ИНФРА-М,2026. - 343 с.(СПО)(П)</t>
  </si>
  <si>
    <t>ОСНОВЫ АЛГОРИТМИЗАЦИИ И ПРОГРАММИРОВАНИЯ НА PYTHON</t>
  </si>
  <si>
    <t>978-5-16-016906-4</t>
  </si>
  <si>
    <t>074950.19.01</t>
  </si>
  <si>
    <t>Основы алгоритмизации и программир.: Уч.пос. / Гагарина Л.Г. - М.:ИД ФОРУМ, НИЦ ИНФРА-М,2026. - 414 с.(П)</t>
  </si>
  <si>
    <t>ОСНОВЫ АЛГОРИТМИЗАЦИИ И ПРОГРАММИРОВАНИЯ</t>
  </si>
  <si>
    <t>Колдаев В. Д., Гагарина Л. Г.</t>
  </si>
  <si>
    <t>978-5-8199-0733-7</t>
  </si>
  <si>
    <t>08.02.15, 09.02.01, 09.02.02, 09.02.03, 09.02.04, 09.02.05, 09.02.06, 09.02.07, 09.02.08, 09.02.09, 10.02.02, 10.02.03, 10.02.04, 10.02.05, 11.02.09, 11.02.11, 11.02.14, 11.02.15, 11.02.18, 15.02.07, 27.02.01, 27.02.02, 27.02.03, 27.02.04, 27.02.05, 27.02.06, 27.02.07, 55.02.01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</si>
  <si>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09.00.00 «Информатика и вычислительная техника»</t>
  </si>
  <si>
    <t>038960.16.01</t>
  </si>
  <si>
    <t>Основы алгоритмизации и программир.: Уч.пос. / О.Л.Голицына, - 4 изд. - М.:НИЦ ИНФРА-М,2026. - 431 с.(СПО)(п)</t>
  </si>
  <si>
    <t>ОСНОВЫ АЛГОРИТМИЗАЦИИ И ПРОГРАММИРОВАНИЯ, ИЗД.4</t>
  </si>
  <si>
    <t>Голицына О.Л., Попов И.И.</t>
  </si>
  <si>
    <t>978-5-16-021353-8</t>
  </si>
  <si>
    <t>08.02.15, 09.02.01, 09.02.02, 09.02.03, 09.02.04, 09.02.05, 09.02.06, 09.02.07, 09.02.08, 09.02.09, 10.02.01, 10.02.02, 10.02.03, 10.02.04, 10.02.05, 11.02.09, 11.02.11, 11.02.14, 11.02.15, 11.02.18, 15.02.07, 27.02.01, 27.02.02, 27.02.03, 27.02.04, 27.02.05, 27.02.06, 27.02.07, 55.02.01</t>
  </si>
  <si>
    <t>Допущено Министерством образования РФ в качестве учебного пособия для студентов учреждений среднего профессионального образования, обучающихся по специальности "Информатика и вычислительная техника"</t>
  </si>
  <si>
    <t>796669.04.01</t>
  </si>
  <si>
    <t>Основы анализа бух. (финанс.) отчет. компании: Уч. / Под ред. Казаковой Н.А.-М.:НИЦ ИНФРА-М,2025.-314 с.(п)</t>
  </si>
  <si>
    <t>ОСНОВЫ АНАЛИЗА БУХГАЛТЕРСКОЙ (ФИНАНСОВОЙ) ОТЧЕТНОСТИ КОМПАНИИ</t>
  </si>
  <si>
    <t>Казакова Н.А., Пермитина Л.В., Казакова Н.А.</t>
  </si>
  <si>
    <t>978-5-16-018158-5</t>
  </si>
  <si>
    <t>777487.01.01</t>
  </si>
  <si>
    <t>Основы анализа бухгалтерской (финанс.) отчетности: Уч. / Е.В.Королева-М.:НИЦ ИНФРА-М,2023.-306 с.(СПО)(п)</t>
  </si>
  <si>
    <t>ОСНОВЫ АНАЛИЗА БУХГАЛТЕРСКОЙ (ФИНАНСОВОЙ) ОТЧЕТНОСТИ</t>
  </si>
  <si>
    <t>Королева Е.В.</t>
  </si>
  <si>
    <t>978-5-16-018176-9</t>
  </si>
  <si>
    <t>Костромская государственная сельскохозяйственная академия</t>
  </si>
  <si>
    <t>773005.03.01</t>
  </si>
  <si>
    <t>Основы анализа бухгалтерской отчетности: Уч. / Ю.И.Сигидов - М.:НИЦ ИНФРА-М,2026. - 265 с.(СПО)(П)</t>
  </si>
  <si>
    <t>ОСНОВЫ АНАЛИЗА БУХГАЛТЕРСКОЙ ОТЧЕТНОСТИ</t>
  </si>
  <si>
    <t>Сигидов Ю.И., Мороз Н.Ю., Оксанич Е.А. и др.</t>
  </si>
  <si>
    <t>978-5-16-017534-8</t>
  </si>
  <si>
    <t>38.02.01, 38.02.06, 38.02.08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</si>
  <si>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экономическим специальностям (протокол № 6 от 08.06.2022)</t>
  </si>
  <si>
    <t>797697.04.01</t>
  </si>
  <si>
    <t>Основы анализа бухгалтерской отчетности: Уч.пос. / Н.А.Грачева. - М.:НИЦ ИНФРА-М,2026. - 220 с.(СПО)(п)</t>
  </si>
  <si>
    <t>Грачева Н.А., Полищук О.А., Грачева Н.А.</t>
  </si>
  <si>
    <t>978-5-16-018226-1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</si>
  <si>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экономическим специальностям (протокол № 10 от 21.12.2022)</t>
  </si>
  <si>
    <t>717777.07.01</t>
  </si>
  <si>
    <t>Основы архитектуры зданий и сооружений: Уч. / А.З.Абуханов. - М.:ИЦ РИОР,НИЦ ИНФРА-М,2025 - 296 с.(П)</t>
  </si>
  <si>
    <t>ОСНОВЫ АРХИТЕКТУРЫ ЗДАНИЙ И СООРУЖЕНИЙ</t>
  </si>
  <si>
    <t>Абуханов А.З., Белоконев Е.Н., Белоконева Т.М. и др.</t>
  </si>
  <si>
    <t>978-5-369-01822-4</t>
  </si>
  <si>
    <t>07.02.01, 08.02.01, 08.02.02, 08.02.03, 08.02.08, 08.02.13, 08.02.14, 35.02.12</t>
  </si>
  <si>
    <t>Грозненский государственный нефтяной технический университет им. академика М.Д. Миллионщикова</t>
  </si>
  <si>
    <t>653023.07.01</t>
  </si>
  <si>
    <t>Основы архитектуры,устройство и функц. вычисл.сист.: Уч./В.В.Степина-М.:КУРС,НИЦ ИНФРА-М,2023-288(П)</t>
  </si>
  <si>
    <t>ОСНОВЫ АРХИТЕКТУРЫ, УСТРОЙСТВО И ФУНКЦИОНИРОВАНИЕ ВЫЧИСЛИТЕЛЬНЫХ СИСТЕМ</t>
  </si>
  <si>
    <t>Степина Вера Владимировна</t>
  </si>
  <si>
    <t>978-5-906923-19-6</t>
  </si>
  <si>
    <t>09.01.04, 09.01.05, 09.02.01, 09.02.02, 09.02.03, 09.02.04, 09.02.05, 09.02.06, 09.02.07, 11.02.03, 11.02.06, 11.02.07, 11.02.09, 11.02.11, 11.02.14, 11.02.15, 11.02.18, 26.01.05</t>
  </si>
  <si>
    <t>704218.02.01</t>
  </si>
  <si>
    <t>Основы банковского аудита: Уч./ А.А.Казимагомедов - М.:НИЦ ИНФРА-М,2023 - 183 с.(СПО)(П)</t>
  </si>
  <si>
    <t>ОСНОВЫ БАНКОВСКОГО АУДИТА</t>
  </si>
  <si>
    <t>978-5-16-015229-5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</si>
  <si>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38.02.07 «Банковское дело» (протокол № 13 от 16.09.2019)</t>
  </si>
  <si>
    <t>077200.14.01</t>
  </si>
  <si>
    <t>Основы банковского дела: Уч. / В.А.Галанов, - 2 изд. - М.:Форум,2025. - 288 с. - (СПО)(п)</t>
  </si>
  <si>
    <t>ОСНОВЫ БАНКОВСКОГО ДЕЛА, ИЗД.2</t>
  </si>
  <si>
    <t>978-5-91134-391-0</t>
  </si>
  <si>
    <t>Допущено Мин. обр. и науки РФ в качестве учебника для студентов учреждений среднего проф. образования, обучающихся по группе специальностей "Экономика и управление"</t>
  </si>
  <si>
    <t>058100.15.01</t>
  </si>
  <si>
    <t>Основы банковского дела: Уч. / Е.Б.Стародубцева  -  2 изд. - М.:ИД ФОРУМ, НИЦ ИНФРА-М,2026 - 288 с.(СПО)(П)</t>
  </si>
  <si>
    <t>Стародубцева Е.Б.</t>
  </si>
  <si>
    <t>978-5-8199-0819-8</t>
  </si>
  <si>
    <t>38.02.06, 38.02.07</t>
  </si>
  <si>
    <t>094820.10.01</t>
  </si>
  <si>
    <t>Основы банковского дела: Учебное пос. / Под ред. Г.Г. Коробовой. - М.: Магистр, 2024. - 446 с. (п)</t>
  </si>
  <si>
    <t>ОСНОВЫ БАНКОВСКОГО ДЕЛА</t>
  </si>
  <si>
    <t>Коробова Г. Г., Коробов Ю. И.</t>
  </si>
  <si>
    <t>978-5-9776-0053-8</t>
  </si>
  <si>
    <t>683005.10.01</t>
  </si>
  <si>
    <t>Основы безоп. жизнед. и охраны труда в хореографии: Уч.пос. / В.Н.Карпенко - М.:НИЦ ИНФРА-М,2026 - 141 с.(СПО) (О)</t>
  </si>
  <si>
    <t>ОСНОВЫ БЕЗОПАСНОСТИ ЖИЗНЕДЕЯТЕЛЬНОСТИ И ОХРАНЫ ТРУДА В ХОРЕОГРАФИИ</t>
  </si>
  <si>
    <t>Карпенко В.Н., Карпенко И.А., Багана Ж.</t>
  </si>
  <si>
    <t>978-5-16-013984-5</t>
  </si>
  <si>
    <t>44.02.03, 52.02.01, 52.02.02, 52.02.03, 52.02.04, 52.02.05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</si>
  <si>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52.02.00 «Сценические искусства и литературное творчество»</t>
  </si>
  <si>
    <t>782284.04.01</t>
  </si>
  <si>
    <t>Основы безопасности жизнедеятельности: Уч.пос.: Ч.1 / А.Н.Ковальчук - М.:НИЦ ИНФРА-М,2026. - 287 с.(СПО)(п)</t>
  </si>
  <si>
    <t>ОСНОВЫ БЕЗОПАСНОСТИ ЖИЗНЕДЕЯТЕЛЬНОСТИ. ЧАСТЬ 1. ОСНОВЫ ЗАЩИТЫ НАСЕЛЕНИЯ И ТЕРРИТОРИЙ ОТ ВОЕННЫХ, ТЕХНОГЕННЫХ И ПРИРОДНЫХ ЧРЕЗВЫЧАЙНЫХ СИТУАЦИЙ, Т.1</t>
  </si>
  <si>
    <t>Ковальчук А.Н., Ковальчук Н.М.</t>
  </si>
  <si>
    <t>978-5-16-018124-0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</si>
  <si>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профессиональную образовательную программу СПО на базе основного общего образования (протокол № 8 от 19.10.2022)</t>
  </si>
  <si>
    <t>782278.01.01</t>
  </si>
  <si>
    <t>Основы безопасности жизнедеятельности: Уч.пос.: Ч.2 / А.Н.Ковальчук-М.:НИЦ ИНФРА-М,2023.-328 с.(П)</t>
  </si>
  <si>
    <t>ОСНОВЫ БЕЗОПАСНОСТИ ЖИЗНЕДЕЯТЕЛЬНОСТИ. ЧАСТЬ 2. ОСНОВЫ ПОДГОТОВКИ ГРАЖДАН К ВОЕННОЙ СЛУЖБЕ, Т.2</t>
  </si>
  <si>
    <t>Ковальчук А.Н.</t>
  </si>
  <si>
    <t>978-5-16-018123-3</t>
  </si>
  <si>
    <t>828545.03.01</t>
  </si>
  <si>
    <t>Основы безопасности и защиты Родины: Уч.пос. / Ю.Н.Сычев - М.:НИЦ ИНФРА-М,2026. - 305 с.(СПО)(п)</t>
  </si>
  <si>
    <t>ОСНОВЫ БЕЗОПАСНОСТИ И ЗАЩИТЫ РОДИНЫ</t>
  </si>
  <si>
    <t>978-5-16-019935-1</t>
  </si>
  <si>
    <t>785490.05.01</t>
  </si>
  <si>
    <t>Основы бережливого производства: Уч.пос. / М.Р.Рогулина. - М.:НИЦ ИНФРА-М,2026  -170 с.(СПО)(п)</t>
  </si>
  <si>
    <t>ОСНОВЫ БЕРЕЖЛИВОГО ПРОИЗВОДСТВА</t>
  </si>
  <si>
    <t>Рогулина М.Р., Смирнова И.Г., Курчий О.В. и др.</t>
  </si>
  <si>
    <t>978-5-16-018429-6</t>
  </si>
  <si>
    <t>00.02.27</t>
  </si>
  <si>
    <t>Колледж Подмосковье</t>
  </si>
  <si>
    <t>795102.01.01</t>
  </si>
  <si>
    <t>Основы бух. учета в сельском хозяйстве: Уч.пос. / Л.В.Петрова - М.:НИЦ ИНФРА-М,2025. - 296 с.(СПО)(п)</t>
  </si>
  <si>
    <t>ОСНОВЫ БУХГАЛТЕРСКОГО УЧЕТА В СЕЛЬСКОМ ХОЗЯЙСТВЕ</t>
  </si>
  <si>
    <t>Петрова Л.В.</t>
  </si>
  <si>
    <t>978-5-16-020129-0</t>
  </si>
  <si>
    <t>681864.05.01</t>
  </si>
  <si>
    <t>Основы бухгалтерского учета: Уч. / Л.И.Воронина - М.:НИЦ ИНФРА-М,2023 - 346 с.-(СПО)(П)</t>
  </si>
  <si>
    <t>ОСНОВЫ БУХГАЛТЕРСКОГО УЧЕТА</t>
  </si>
  <si>
    <t>Воронина Л.И.</t>
  </si>
  <si>
    <t>978-5-16-014313-2</t>
  </si>
  <si>
    <t>38.01.02, 38.02.01, 38.02.02, 38.02.06, 38.02.08, 40.02.04, 43.01.09, 51.02.02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</si>
  <si>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 (протокол № 7 от 15.04.2019)</t>
  </si>
  <si>
    <t>795906.03.01</t>
  </si>
  <si>
    <t>Основы бухгалтерского учета: Уч. / Н.Г.Гаджиев и др. - М.:НИЦ ИНФРА-М,2026. - 251 с.(СПО)(п)</t>
  </si>
  <si>
    <t>Гаджиев Н.Г., Коноваленко С.А., Киселева О.В. и др.</t>
  </si>
  <si>
    <t>978-5-16-018149-3</t>
  </si>
  <si>
    <t>38.01.02, 38.02.01, 40.02.04, 43.01.09, 51.02.02</t>
  </si>
  <si>
    <t>753331.02.01</t>
  </si>
  <si>
    <t>Основы визажистики: Уч.пос./ Е.Н.Зубова - М.:НИЦ ИНФРА-М,2026. - 191 с.-(СПО)(п)</t>
  </si>
  <si>
    <t>ОСНОВЫ ВИЗАЖИСТИКИ</t>
  </si>
  <si>
    <t>Зубова Е.Н.</t>
  </si>
  <si>
    <t>978-5-16-018312-1</t>
  </si>
  <si>
    <t>43.02.17</t>
  </si>
  <si>
    <t>700726.02.01</t>
  </si>
  <si>
    <t>Основы визуализации коммерческой идеи: Уч.пос. / Н.Н.Крупина - М.:НИЦ ИНФРА-М,2023 - 165 с.(СПО)(П)</t>
  </si>
  <si>
    <t>ОСНОВЫ ВИЗУАЛИЗАЦИИ КОММЕРЧЕСКОЙ ИДЕИ</t>
  </si>
  <si>
    <t>Крупина Н.Н.</t>
  </si>
  <si>
    <t>978-5-16-014960-8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</si>
  <si>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1 от 20.01.2020)</t>
  </si>
  <si>
    <t>750864.05.01</t>
  </si>
  <si>
    <t>Основы водоподготовки и водоотведения: Уч.пос. / Б.С.Ксенофонтов - М.:НИЦ ИНФРА-М,2025. - 256 с.(СПО)(п)</t>
  </si>
  <si>
    <t>ОСНОВЫ ВОДОПОДГОТОВКИ И ВОДООТВЕДЕНИЯ</t>
  </si>
  <si>
    <t>Ксенофонтов Б.С.</t>
  </si>
  <si>
    <t>978-5-16-016819-7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</si>
  <si>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08.02.04 «Водоснабжение и водоотведение» (протокол № 5 от 19.05.2021)</t>
  </si>
  <si>
    <t>187800.22.01</t>
  </si>
  <si>
    <t>Основы военной службы: Уч. / В.Ю.Микрюков, - 2 изд. - М.:Форум, НИЦ ИНФРА-М,2025 - 384 с.(П)</t>
  </si>
  <si>
    <t>ОСНОВЫ ВОЕННОЙ СЛУЖБЫ: СТРОЕВАЯ, ОГНЕВАЯ И ТАКТИЧЕСКАЯ ПОДГОТОВКА, ВОЕННАЯ ТОПОГРАФИЯ, ИЗД.2</t>
  </si>
  <si>
    <t>Микрюков В.Ю.</t>
  </si>
  <si>
    <t>978-5-00091-623-0</t>
  </si>
  <si>
    <t>00.01.01, 00.02.01, 26.02.04, 40.02.02</t>
  </si>
  <si>
    <t>Рекомендовано Академией военных наук Российской Федерации в качестве учебника для учащихся старших классов средних образовательных учреждений и студентов средних специальных учебных заведений</t>
  </si>
  <si>
    <t>Российская академия естественных наук</t>
  </si>
  <si>
    <t>717643.04.01</t>
  </si>
  <si>
    <t>Основы гидравлики и теплотехники. Прак.: Уч.пос. / С.Ф.Вольвак - 2 изд.-М.:НИЦ ИНФРА-М,2024.-203с(СПО)(п)</t>
  </si>
  <si>
    <t>ОСНОВЫ ГИДРАВЛИКИ И ТЕПЛОТЕХНИКИ. ПРАКТИКУМ, ИЗД.2</t>
  </si>
  <si>
    <t>Вольвак С.Ф., Ульянцев Ю.Н., Бахарев Д.Н. и др.</t>
  </si>
  <si>
    <t>978-5-16-019491-2</t>
  </si>
  <si>
    <t>08.01.32, 08.02.04, 13.02.02, 13.02.04, 14.02.01, 15.02.01, 15.02.03, 15.02.04, 15.02.06, 15.02.09, 15.02.10, 15.02.18, 21.01.17, 22.02.08, 23.02.02, 24.02.01, 26.02.03, 26.02.04, 26.02.05, 35.02.07, 35.02.16, 44.02.06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</si>
  <si>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техническим специальностям (протокол № 5 от 18.10.2023)</t>
  </si>
  <si>
    <t>Белгородский государственный аграрный университет им. В.Я. Горина</t>
  </si>
  <si>
    <t>717643.03.01</t>
  </si>
  <si>
    <t>Основы гидравлики и теплотехники: практикум: Уч.пос. / С.Ф.Вольвак - М.:НИЦ ИНФРА-М,2023-238с.(СПО)(П)</t>
  </si>
  <si>
    <t>ОСНОВЫ ГИДРАВЛИКИ И ТЕПЛОТЕХНИКИ. ПРАКТИКУМ</t>
  </si>
  <si>
    <t>Вольвак С.Ф., Ульянцев Ю.Н., Бахарев Д.Н.</t>
  </si>
  <si>
    <t>978-5-16-015657-6</t>
  </si>
  <si>
    <t>Рекомендовано Экспертным советом Учебно-методического объединения Комитета по науке и высшей школе Санкт-Петербургских государственных бюджетных профессиональных образовательных учреждений (УМО КНВШ СПб ГБПОУ) в качестве учебного пособия</t>
  </si>
  <si>
    <t>769927.04.01</t>
  </si>
  <si>
    <t>Основы гидравлики и теплотехники: Уч.пос. / С.Ф.Вольвак - 2-е изд.-М.:НИЦ ИНФРА-М,2024.-333 с.(СПО)(п)</t>
  </si>
  <si>
    <t>ОСНОВЫ ГИДРАВЛИКИ И ТЕПЛОТЕХНИКИ, ИЗД.2</t>
  </si>
  <si>
    <t>978-5-16-019812-5</t>
  </si>
  <si>
    <t>13.02.02, 13.02.04, 35.02.07, 35.02.16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</si>
  <si>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техническим специальностям (протокол № 2 от 15.02.2024)</t>
  </si>
  <si>
    <t>769927.01.01</t>
  </si>
  <si>
    <t>Основы гидравлики и теплотехники: Уч.пос. / С.Ф.Вольвак - М.:НИЦ ИНФРА-М,2022 - 525 с.(СПО)(П)</t>
  </si>
  <si>
    <t>ОСНОВЫ ГИДРАВЛИКИ И ТЕПЛОТЕХНИКИ</t>
  </si>
  <si>
    <t>978-5-16-017670-3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</si>
  <si>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техническим специальностям (протокол № 9 от 17.11.2021)</t>
  </si>
  <si>
    <t>051850.25.01</t>
  </si>
  <si>
    <t>Основы гидравлики, теплотехники и аэродинамики: Уч. / О.Н.Брюханов - М.: ИНФРА-М, 2025 - 254 с.(СПО)(П)</t>
  </si>
  <si>
    <t>ОСНОВЫ ГИДРАВЛИКИ, ТЕПЛОТЕХНИКИ И АЭРОДИНАМИКИ</t>
  </si>
  <si>
    <t>Брюханов О.Н., Коробко В.И., Мелик-Аракелян А.Т.</t>
  </si>
  <si>
    <t>978-5-16-005354-7</t>
  </si>
  <si>
    <t>08.01.29, 08.01.32, 08.02.04, 08.02.08, 08.02.12, 08.02.13, 08.02.14, 12.02.01, 13.02.02, 13.02.04, 13.02.05, 15.02.01, 15.02.03, 15.02.04, 15.02.06, 15.02.09, 15.02.10, 15.02.18, 21.01.17, 23.02.02, 24.02.01, 35.02.07, 35.02.16, 44.02.06</t>
  </si>
  <si>
    <t>714257.05.01</t>
  </si>
  <si>
    <t>Основы деловой (служеб.) письм. речи в сфере упр.: Уч.пос. / С.Ю.Кабашов - М.:НИЦ ИНФРА-М,2025-163с(П)</t>
  </si>
  <si>
    <t>ОСНОВЫ ДЕЛОВОЙ (СЛУЖЕБНОЙ) ПИСЬМЕННОЙ РЕЧИ В СФЕРЕ УПРАВЛЕНИЯ</t>
  </si>
  <si>
    <t>978-5-16-015439-8</t>
  </si>
  <si>
    <t>15.02.04, 38.02.01, 38.02.02, 38.02.03, 38.02.06, 38.02.07, 38.02.08, 39.02.01, 39.02.02, 40.02.02, 40.02.04, 43.02.01, 43.02.11, 43.02.16, 44.02.01, 44.02.02, 44.02.03, 44.02.04, 44.02.05, 44.02.06, 46.02.01, 46.02.02, 49.02.02, 51.02.03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</si>
  <si>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38.02.00 «Экономика и управление», 40.02.00 «Юриспруденция» (протокол № 8 от 29.04.2019)</t>
  </si>
  <si>
    <t>843799.01.01</t>
  </si>
  <si>
    <t>Основы дискретной математики: Уч.пос. / В.А.Осипова, - 2 изд. - М.:Форум, НИЦ ИНФРА-М,2025. - 157 с.(СПО)(п)</t>
  </si>
  <si>
    <t>ОСНОВЫ ДИСКРЕТНОЙ МАТЕМАТИКИ, ИЗД.2</t>
  </si>
  <si>
    <t>Осипова В. А.</t>
  </si>
  <si>
    <t>978-5-00091-814-2</t>
  </si>
  <si>
    <t>09.02.01, 09.02.05, 09.02.06, 09.02.07, 09.02.08, 09.02.09, 38.02.01, 38.02.02, 38.02.03, 38.02.06, 38.02.07</t>
  </si>
  <si>
    <t>767220.01.01</t>
  </si>
  <si>
    <t>Основы земельно-имуществ. отнош.: Уч.пос. / С.В.Фокин - М.:НИЦ ИНФРА-М,2024. - 379 с.(СПО)(п)</t>
  </si>
  <si>
    <t>ОСНОВЫ ЗЕМЕЛЬНО-ИМУЩЕСТВЕННЫХ ОТНОШЕНИЙ</t>
  </si>
  <si>
    <t>978-5-16-018221-6</t>
  </si>
  <si>
    <t>798961.05.01</t>
  </si>
  <si>
    <t>Основы зоотехнии. Практикум: Уч.пос. / А.Г.Агейкин. - М.:НИЦ ИНФРА-М,2026. - 285 с.(СПО (КрГАУ))(п)</t>
  </si>
  <si>
    <t>ОСНОВЫ ЗООТЕХНИИ. ПРАКТИКУМ</t>
  </si>
  <si>
    <t>Агейкин А.Г., Удалова Т.А., Нагибина А.А.</t>
  </si>
  <si>
    <t>978-5-16-018344-2</t>
  </si>
  <si>
    <t>19.02.11, 19.02.12, 35.01.21, 35.01.27, 35.02.07, 35.02.09, 35.02.16, 36.01.02, 36.01.03, 36.02.01, 36.02.03</t>
  </si>
  <si>
    <t>Рекомендовано учебно-методическим советом федерального государственного образовательного учреждения высшего образования «Красноярский государственный аграрный университет» для внутривузовского использования в качестве учебного пособия для студентов, обучающихся по специальности 35.02.08 «Электрификация и автоматизация сельского хозяйства»</t>
  </si>
  <si>
    <t>046640.17.01</t>
  </si>
  <si>
    <t>Основы инженерной геологии: Уч. / Н.А.Платов - 4 изд. - М.:НИЦ ИНФРА-М,2019 - 187 с.-(СПО)(П)</t>
  </si>
  <si>
    <t>ОСНОВЫ ИНЖЕНЕРНОЙ ГЕОЛОГИИ, ИЗД.4</t>
  </si>
  <si>
    <t>Платов Н. А.</t>
  </si>
  <si>
    <t>978-5-16-004554-2</t>
  </si>
  <si>
    <t>08.01.30, 08.02.01, 08.02.02, 08.02.08, 08.02.12, 08.02.13, 21.02.09, 21.02.10</t>
  </si>
  <si>
    <t>Допущено Государственным комитетом Российской Федерации по строительству и жилищно-коммунальному комплексу в качестве учебника для студентов среднего профессионального образования, обучающихся по специальности «Строительство и эксплуатация зданий и сооружений»</t>
  </si>
  <si>
    <t>046640.24.01</t>
  </si>
  <si>
    <t>Основы инженерной геологии: Уч. / Н.А.Платов - 5 изд. - М.:НИЦ ИНФРА-М,2026 - 190 с.(СПО)(П)</t>
  </si>
  <si>
    <t>ОСНОВЫ ИНЖЕНЕРНОЙ ГЕОЛОГИИ, ИЗД.5</t>
  </si>
  <si>
    <t>Платов Н.А.</t>
  </si>
  <si>
    <t>978-5-16-016056-6</t>
  </si>
  <si>
    <t>0521</t>
  </si>
  <si>
    <t>771587.01.01</t>
  </si>
  <si>
    <t>Основы информ. технолог.: Уч.пос. / Под ред. Гагариной Л.Г. - 2 изд. - М.:НИЦ ИНФРА-М,2022 - 346 с.(П)</t>
  </si>
  <si>
    <t>ОСНОВЫ ИНФОРМАЦИОННЫХ ТЕХНОЛОГИЙ, ИЗД.2</t>
  </si>
  <si>
    <t>Гагарина Л.Г., Слюсарь В.В., Слюсарь М.В.</t>
  </si>
  <si>
    <t>978-5-16-015784-9</t>
  </si>
  <si>
    <t>00.02.03, 09.02.01, 09.02.03, 09.02.04, 09.02.06, 09.02.07, 09.02.10</t>
  </si>
  <si>
    <t>Рекомендовано Научно-методическим советом федерального государственного автономного образовательного учреждения высшего профессионального образования «Национальный исследовательский университет "МИЭТ”» в качестве учебного пособия для студентов учреждений среднего профессионального образования, обучающихся по группе специальностей «Информатика и вычислительная техника»</t>
  </si>
  <si>
    <t>050260.11.01</t>
  </si>
  <si>
    <t>Основы информатики: Уч.пос. / М.В.Жаров - 2 изд. - М.:Форум, НИЦ ИНФРА-М,2025. - 288 с.(СПО)(п)</t>
  </si>
  <si>
    <t>ОСНОВЫ ИНФОРМАТИКИ, ИЗД.2</t>
  </si>
  <si>
    <t>Жаров М. В., Палтиевич А. Р., Соколов А. В.</t>
  </si>
  <si>
    <t>978-5-91134-232-6</t>
  </si>
  <si>
    <t>0208</t>
  </si>
  <si>
    <t>682888.06.01</t>
  </si>
  <si>
    <t>Основы информац. безопасности предпр.: Уч.пос. / Н.В.Гришина, - 2 изд.-М.:НИЦ ИНФРА-М,2023.-216 с.(П)</t>
  </si>
  <si>
    <t>ОСНОВЫ ИНФОРМАЦИОННОЙ БЕЗОПАСНОСТИ ПРЕДПРИЯТИЯ, ИЗД.2</t>
  </si>
  <si>
    <t>Гришина Н.В.</t>
  </si>
  <si>
    <t>978-5-16-016719-0</t>
  </si>
  <si>
    <t>10.02.01, 10.02.02, 10.02.03, 10.02.04, 10.02.05, 11.02.07, 11.02.18, 21.02.19</t>
  </si>
  <si>
    <t>Рекомендовано Межрегиональным учебно-методическим советом профессионального образования в качестве учебного пособия для студентов учебных заведений, реализующих программу среднего профессионального образования по специальностям 10.02.01 «Организация и технология защиты информации», 10.02.02 «Информационная безопасность телекоммуникационных систем», 10.02.03 «Информационная безопасность автоматизированных систем»</t>
  </si>
  <si>
    <t>837621.01.01</t>
  </si>
  <si>
    <t>Основы информац. культуры и информац. безопас.: Уч.пос. / Н.С.Редькина - М.:НИЦ ИНФРА-М,2025. - 193 с.(СПО)(п)</t>
  </si>
  <si>
    <t>ОСНОВЫ ИНФОРМАЦИОННОЙ КУЛЬТУРЫ И ИНФОРМАЦИОННОЙ БЕЗОПАСНОСТИ</t>
  </si>
  <si>
    <t>Редькина Н.С.</t>
  </si>
  <si>
    <t>978-5-16-020142-9</t>
  </si>
  <si>
    <t>690263.06.01</t>
  </si>
  <si>
    <t>Основы информационной безопасности: Уч. / Е.К.Баранова - М.:ИЦ РИОР, НИЦ ИНФРА-М,2026. - 202 с.(СПО)(П)</t>
  </si>
  <si>
    <t>ОСНОВЫ ИНФОРМАЦИОННОЙ БЕЗОПАСНОСТИ</t>
  </si>
  <si>
    <t>Баранова Е.К., Бабаш А.В.</t>
  </si>
  <si>
    <t>978-5-369-01806-4</t>
  </si>
  <si>
    <t>09.02.01, 09.02.02, 09.02.03, 09.02.04, 09.02.05, 09.02.06, 09.02.07, 10.02.01, 10.02.02, 10.02.03, 10.02.04, 10.02.05, 11.02.18</t>
  </si>
  <si>
    <t>747296.08.01</t>
  </si>
  <si>
    <t>Основы информационной безопасности: Уч.пос. / Ю.Н.Сычев - М.:НИЦ ИНФРА-М,2026  - 337 с.(СПО)(п)</t>
  </si>
  <si>
    <t>978-5-16-019432-5</t>
  </si>
  <si>
    <t>10.02.01, 10.02.02, 10.02.03, 10.02.04, 10.02.05, 11.02.18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</si>
  <si>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10.00.00 «Информационная безопасность» (протокол № 8 от 22.06.2020)</t>
  </si>
  <si>
    <t>706524.03.01</t>
  </si>
  <si>
    <t>Основы кадастра недвижимости: Уч.пос. / С.В.Фокин - М.:НИЦ ИНФРА-М,2026. - 225 с.(СПО)(п)</t>
  </si>
  <si>
    <t>ОСНОВЫ КАДАСТРА НЕДВИЖИМОСТИ</t>
  </si>
  <si>
    <t>978-5-16-015102-1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</si>
  <si>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21.02.04 «Землеустройство», 21.02.05 «Земельно-имущественные отношения» (протокол № 98 от 17.11.2022)</t>
  </si>
  <si>
    <t>683008.02.01</t>
  </si>
  <si>
    <t>Основы коммерции: Уч.пос. / Г.А.Яковлев-М.:НИЦ ИНФРА-М,2023.-224 с..-(СПО)(П)</t>
  </si>
  <si>
    <t>ОСНОВЫ КОММЕРЦИИ</t>
  </si>
  <si>
    <t>978-5-16-013985-2</t>
  </si>
  <si>
    <t>38.02.01, 38.02.08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</si>
  <si>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10 от 27.05.2019)</t>
  </si>
  <si>
    <t>824723.01.01</t>
  </si>
  <si>
    <t>Основы компьютера. Computer Grundlagen: Уч. / О.Н.Анюшенкова - М.:НИЦ ИНФРА-М,2025. - 364 с.(СПО (ФинУн))(п)</t>
  </si>
  <si>
    <t>ОСНОВЫ КОМПЬЮТЕРА. COMPUTER GRUNDLAGEN</t>
  </si>
  <si>
    <t>Анюшенкова О.Н.,</t>
  </si>
  <si>
    <t>978-5-16-020056-9</t>
  </si>
  <si>
    <t>00.01.02, 00.02.02, 09.02.01, 09.02.02, 09.02.03, 09.02.04, 09.02.05, 09.02.06, 09.02.07, 09.02.08, 09.02.09, 10.02.01, 10.02.02, 10.02.03, 10.02.04, 10.02.05</t>
  </si>
  <si>
    <t>862542.01.01</t>
  </si>
  <si>
    <t>Основы консервир. пищевых продуктов: Уч.пос. / А.И.Машанов - М.:НИЦ ИНФРА-М,2026. - 270 с.(СПО (КрГАУ))(п)</t>
  </si>
  <si>
    <t>ОСНОВЫ КОНСЕРВИРОВАНИЯ ПИЩЕВЫХ ПРОДУКТОВ</t>
  </si>
  <si>
    <t>Машанов А.И., Матюшев В.В., Величко Н.А. и др.</t>
  </si>
  <si>
    <t>978-5-16-021202-9</t>
  </si>
  <si>
    <t>18.02.15, 19.02.13, 20.02.01, 43.01.01, 43.01.04</t>
  </si>
  <si>
    <t>Рекомендовано Учебно-методическим советом федерального государственного бюджетного образовательного учреждения высшего образования «Красноярский государственный аграрный университет» для внутривузовского использования в качестве учебного пособия для студентов, обучающихся по направлениям подготовки 19.03.03 и 19.04.03 «Продукты питания животного происхождения»; 19.03.02 и 19.04.02 «Продукты питания из растительного сырья»</t>
  </si>
  <si>
    <t>079440.12.01</t>
  </si>
  <si>
    <t>Основы конфликтологии: Уч. / Г.И.Козырев, - 2 изд. - М.:ИД Форум, НИЦ ИНФРА-М,2026. - 240 с.(СПО)(П)</t>
  </si>
  <si>
    <t>ОСНОВЫ КОНФЛИКТОЛОГИИ, ИЗД.2</t>
  </si>
  <si>
    <t>Козырев Г. И.</t>
  </si>
  <si>
    <t>978-5-8199-0925-6</t>
  </si>
  <si>
    <t>38.00.00, 44.00.00, 00.02.38, 32.02.01, 39.01.01, 39.02.01, 51.02.02</t>
  </si>
  <si>
    <t>723224.05.01</t>
  </si>
  <si>
    <t>Основы латинского языка с мед. терминологией: Уч.пос. / О.Г.Купцова - М.:НИЦ ИНФРА-М,2026 - 281 с.(СПО)(П)</t>
  </si>
  <si>
    <t>ОСНОВЫ ЛАТИНСКОГО ЯЗЫКА С МЕДИЦИНСКОЙ ТЕРМИНОЛОГИЕЙ</t>
  </si>
  <si>
    <t>Купцова О.Г.</t>
  </si>
  <si>
    <t>978-5-16-015823-5</t>
  </si>
  <si>
    <t>12.02.08, 31.02.01, 34.01.01, 42.02.12, 43.02.04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</si>
  <si>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31.02.00 «Клиническая медицина» (протокол № 9 от 28.09.2020)</t>
  </si>
  <si>
    <t>Марийский государственный университет</t>
  </si>
  <si>
    <t>095260.10.01</t>
  </si>
  <si>
    <t>Основы логистики: Уч. пос. / Б.И. Герасимов - 2 изд. - М.:Форум: НИЦ ИНФРА-М, 2025. - 304 с. (ПО)</t>
  </si>
  <si>
    <t>ОСНОВЫ ЛОГИСТИКИ, ИЗД.2</t>
  </si>
  <si>
    <t>Герасимов Б. И., Жариков В. В., Жариков В. Д.</t>
  </si>
  <si>
    <t>978-5-91134-909-7</t>
  </si>
  <si>
    <t>38.02.01, 38.02.03, 38.02.08</t>
  </si>
  <si>
    <t>690966.03.01</t>
  </si>
  <si>
    <t>Основы маркетинга сферы услуг: Уч.пос. / М.А.Новикова - М.:НИЦ ИНФРА-М,2026 - 192 с.(СПО)(П)</t>
  </si>
  <si>
    <t>ОСНОВЫ МАРКЕТИНГА СФЕРЫ УСЛУГ</t>
  </si>
  <si>
    <t>Новикова М.А.</t>
  </si>
  <si>
    <t>978-5-16-014501-3</t>
  </si>
  <si>
    <t>43.02.02, 43.02.16, 43.02.17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</si>
  <si>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43.02.13 «Технологии парикмахерского искусства» (протокол № 4 от 21.04.2021)</t>
  </si>
  <si>
    <t>703066.07.01</t>
  </si>
  <si>
    <t>Основы маркетинга: Уч. / Ю.Н.Егоров - 2 изд. - М.:НИЦ ИНФРА-М,2026 - 292 с.(СПО)(п)</t>
  </si>
  <si>
    <t>ОСНОВЫ МАРКЕТИНГА, ИЗД.2</t>
  </si>
  <si>
    <t>Егоров Ю.Н.</t>
  </si>
  <si>
    <t>978-5-16-014862-5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</si>
  <si>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укрупненной группе специальностей 38.02.00 «Экономика и управление»</t>
  </si>
  <si>
    <t>653013.10.01</t>
  </si>
  <si>
    <t>Основы материаловедения: Уч. для СПО / А.А.Черепахин - М.:КУРС, НИЦ ИНФРА-М,2025 - 240 с.(П)</t>
  </si>
  <si>
    <t>ОСНОВЫ МАТЕРИАЛОВЕДЕНИЯ</t>
  </si>
  <si>
    <t>978-5-906923-12-7</t>
  </si>
  <si>
    <t>15.01.04, 15.01.08, 15.01.13, 15.01.24, 15.01.25, 15.01.26, 15.01.27, 15.01.28, 15.01.30, 15.01.35, 15.01.37, 15.01.38, 15.02.04, 23.01.17</t>
  </si>
  <si>
    <t>815345.02.01</t>
  </si>
  <si>
    <t>Основы менеджмента: Уч.пос. / Я.Ю.Радюкова и др. - М.:НИЦ ИНФРА-М,2025. - 297 с.(СПО)(п)</t>
  </si>
  <si>
    <t>ОСНОВЫ МЕНЕДЖМЕНТА</t>
  </si>
  <si>
    <t>Радюкова Я.Ю., Беспалов М.В., Абдукаримов В.И. и др.</t>
  </si>
  <si>
    <t>978-5-16-019219-2</t>
  </si>
  <si>
    <t>11.02.12, 12.02.03, 29.02.05, 35.02.12, 38.02.01, 38.02.02, 38.02.03, 38.02.06, 38.02.07, 38.02.08, 39.02.02</t>
  </si>
  <si>
    <t>420100.09.01</t>
  </si>
  <si>
    <t>Основы металловедения: Уч. / Ю.М.Лахтин - М.:НИЦ ИНФРА-М,2024 - 272 с.(СПО)(П)</t>
  </si>
  <si>
    <t>ОСНОВЫ МЕТАЛЛОВЕДЕНИЯ</t>
  </si>
  <si>
    <t>Лахтин Ю. М.</t>
  </si>
  <si>
    <t>978-5-16-004714-0</t>
  </si>
  <si>
    <t>15.01.36, 15.02.16, 15.02.19, 22.02.08, 26.02.04, 55.02.01</t>
  </si>
  <si>
    <t>Рекомендуется в качестве учебника для студентов средних профессиональных учебных заведений, обучающихся по металлургическим и машиностроительным специальностям</t>
  </si>
  <si>
    <t>720388.04.01</t>
  </si>
  <si>
    <t>Основы микробиологии: Уч. / К.А.Мудрецова-Висс - 5 изд. - М.:ИД ФОРУМ, НИЦ ИНФРА-М,2026 - 384 с.(СПО)(П)</t>
  </si>
  <si>
    <t>ОСНОВЫ МИКРОБИОЛОГИИ, ИЗД.5</t>
  </si>
  <si>
    <t>Мудрецова-Висс К.А., Дедюхина В.П., Масленникова Е.В.</t>
  </si>
  <si>
    <t>978-5-8199-0904-1</t>
  </si>
  <si>
    <t>18.01.01, 18.01.34, 19.01.18, 19.01.19, 19.02.10, 19.02.11, 19.02.12, 19.02.13, 19.02.15, 20.02.01, 31.02.01, 31.02.02, 31.02.05, 31.02.06, 32.02.01, 33.02.01, 34.02.01, 35.01.16, 35.01.23, 35.01.24, 35.01.27, 35.02.05, 35.02.09, 35.02.10, 36.01.05, 36.02.01, 36.02.03, 43.01.04, 43.01.09, 35.01.34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</si>
  <si>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38.02.05 «Товароведение и экспертиза качества потребительских товаров», 43.02.15 «Поварское и кондитерское дело» (протокол № 12 от 24.06.2019)</t>
  </si>
  <si>
    <t>079150.19.01</t>
  </si>
  <si>
    <t>Основы общей психологии: Уч. / Н.С.Ефимова - М.:ИД Форум, НИЦ ИНФРА-М,2025. - 288 с.-(СПО)(п)</t>
  </si>
  <si>
    <t>ОСНОВЫ ОБЩЕЙ ПСИХОЛОГИИ</t>
  </si>
  <si>
    <t>Ефимова Н.С.</t>
  </si>
  <si>
    <t>978-5-8199-0702-3</t>
  </si>
  <si>
    <t>37.00.00, 44.00.00, 00.01.04</t>
  </si>
  <si>
    <t>684805.03.01</t>
  </si>
  <si>
    <t>Основы общей экологии: Уч.пос. / П.А.Волкова-М.:Форум, НИЦ ИНФРА-М,2023.-126 с..-(СПО)(О)</t>
  </si>
  <si>
    <t>ОСНОВЫ ОБЩЕЙ ЭКОЛОГИИ</t>
  </si>
  <si>
    <t>Волкова П.А.</t>
  </si>
  <si>
    <t>978-5-00091-587-5</t>
  </si>
  <si>
    <t>00.02.37, 05.01.01, 05.02.01, 05.02.02, 05.02.03</t>
  </si>
  <si>
    <t>Рекомендовано Учебно-методическим советом СПО в качестве учебного пособия для студентов учебных заведений, реализующих основную программу среднего профессионального образования на базе основного общего образования</t>
  </si>
  <si>
    <t>Институт биологии внутренних вод им. И.Д. Папанина Российской академии наук</t>
  </si>
  <si>
    <t>463800.09.01</t>
  </si>
  <si>
    <t>Основы объемного гидропривода и его упр.: Уч.пос. / С.И.Корнюшенко - М.:НИЦ ИНФРА-М,2025. - 338 с.(СПО)(П)</t>
  </si>
  <si>
    <t>ОСНОВЫ ОБЪЕМНОГО ГИДРОПРИВОДА И ЕГО УПРАВЛЕНИЯ</t>
  </si>
  <si>
    <t>Корнюшенко С.И.</t>
  </si>
  <si>
    <t>978-5-16-011527-6</t>
  </si>
  <si>
    <t>15.02.01, 15.02.03, 15.02.04, 15.02.10, 15.02.17, 15.02.18, 23.02.02, 24.02.01</t>
  </si>
  <si>
    <t>Допущено Учебно-методическим объединением вузов Российской Федерации по университетскому политехническому образованию в качестве учебного пособия для студентов учреждений среднего специального образования, обучающихся по направлению 15.02.03 «Техническая эксплуатация гидравлических машин, гидроприводов и гидропневмоавтоматики»</t>
  </si>
  <si>
    <t>708724.07.01</t>
  </si>
  <si>
    <t>Основы орг. внеуроч. занятий шк. по уч. предметам: Уч.пос. / В.И.Казаренков - 2 изд. - М.:НИЦ ИНФРА-М,2023-231с(П)</t>
  </si>
  <si>
    <t>ОСНОВЫ ОРГАНИЗАЦИИ ВНЕУРОЧНЫХ ЗАНЯТИЙ ШКОЛЬНИКОВ ПО УЧЕБНЫМ ПРЕДМЕТАМ, ИЗД.2</t>
  </si>
  <si>
    <t>Казаренков В.И.</t>
  </si>
  <si>
    <t>978-5-16-015267-7</t>
  </si>
  <si>
    <t>44.02.02, 44.02.03, 44.02.04, 44.02.05, 44.02.06, 54.02.06</t>
  </si>
  <si>
    <t>693177.09.01</t>
  </si>
  <si>
    <t>Основы парикмахерского дела: Уч.пос. / И.С.Тундалева - М.:НИЦ ИНФРА-М,2026 - 155 с.(СПО)(П)</t>
  </si>
  <si>
    <t>ОСНОВЫ ПАРИКМАХЕРСКОГО ДЕЛА</t>
  </si>
  <si>
    <t>978-5-16-014802-1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</si>
  <si>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43.02.02 «Парикмахерское искусство» (протокол № 17 от 11.11.2019)</t>
  </si>
  <si>
    <t>Челябинский многопрофильный институт</t>
  </si>
  <si>
    <t>742746.04.01</t>
  </si>
  <si>
    <t>Основы патологии: Уч. / А.И.Тюкавин - М.:НИЦ ИНФРА-М,2025. - 344 с.(СПО)(п)</t>
  </si>
  <si>
    <t>ОСНОВЫ ПАТОЛОГИИ</t>
  </si>
  <si>
    <t>Тюкавин А.И.</t>
  </si>
  <si>
    <t>978-5-16-016832-6</t>
  </si>
  <si>
    <t>31.02.01, 31.02.02, 31.02.03, 32.02.01, 33.02.01, 34.02.01, 44.02.04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</si>
  <si>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33.02.01 «Фармация» (протокол № 6 от 16.06.2021)</t>
  </si>
  <si>
    <t>091500.14.01</t>
  </si>
  <si>
    <t>Основы педагогического мастерства: Уч.пос. / В.А.Скакун - 2 изд. - М.:Форум, НИЦ ИНФРА-М,2025 - 208 с.(СПО)(П)</t>
  </si>
  <si>
    <t>ОСНОВЫ ПЕДАГОГИЧЕСКОГО МАСТЕРСТВА, ИЗД.2</t>
  </si>
  <si>
    <t>Скакун В.А.</t>
  </si>
  <si>
    <t>978-5-00091-724-4</t>
  </si>
  <si>
    <t>44.02.01, 44.02.02, 44.02.03, 44.02.05, 49.02.01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</si>
  <si>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 (протокол № 12 от 24.06.2019)</t>
  </si>
  <si>
    <t>082400.17.01</t>
  </si>
  <si>
    <t>Основы построения автомат. информ. систем: Уч./ В.А.Гвоздева - М.:ИД ФОРУМ, НИЦ ИНФРА-М,2025-318 с.(СПО)(П)</t>
  </si>
  <si>
    <t>ОСНОВЫ ПОСТРОЕНИЯ АВТОМАТИЗИРОВАННЫХ ИНФОРМАЦИОННЫХ СИСТЕМ</t>
  </si>
  <si>
    <t>Гвоздева В. А., Лаврентьева И. Ю.</t>
  </si>
  <si>
    <t>978-5-8199-0705-4</t>
  </si>
  <si>
    <t>09.02.01, 09.02.02, 09.02.03, 09.02.04, 09.02.05, 09.02.07, 11.02.15</t>
  </si>
  <si>
    <t>747738.01.01</t>
  </si>
  <si>
    <t>Основы права. Практикум: Уч.пос. / С.В.Корнакова.-М.:НИЦ ИНФРА-М,2023.-264 с.(СПО)(П)</t>
  </si>
  <si>
    <t>ОСНОВЫ ПРАВА. ПРАКТИКУМ</t>
  </si>
  <si>
    <t>Корнакова С.В., Корягина С.А., Литвинцева Н.Ю. и др.</t>
  </si>
  <si>
    <t>978-5-16-017264-4</t>
  </si>
  <si>
    <t>00.02.08, 08.02.03, 08.02.08, 14.02.01, 15.02.03, 20.02.01, 25.02.01, 25.02.04, 26.02.04, 31.02.01, 31.02.06, 38.02.03, 39.02.02, 44.02.06, 49.02.01, 54.02.01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</si>
  <si>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неюридическим специальностям (протокол № 6 от 08.06.2022)</t>
  </si>
  <si>
    <t>375600.07.01</t>
  </si>
  <si>
    <t>Основы права: Уч. / М.Б.Смоленский - М.:ИЦ РИОР, НИЦ ИНФРА-М,2023 - 308 с.(ПО)(П)</t>
  </si>
  <si>
    <t>ОСНОВЫ ПРАВА</t>
  </si>
  <si>
    <t>Смоленский М.Б., Маркина Е.В.</t>
  </si>
  <si>
    <t>978-5-369-01441-7</t>
  </si>
  <si>
    <t>00.02.08</t>
  </si>
  <si>
    <t>128900.11.01</t>
  </si>
  <si>
    <t>Основы права: Уч. / Под ред. Епихина А.Ю., - 2 изд. - М.:Альфа-М, НИЦ ИНФРА-М,2026. - 400 с.(П)</t>
  </si>
  <si>
    <t>ОСНОВЫ ПРАВА, ИЗД.2</t>
  </si>
  <si>
    <t>Ахметьянова З.А., Воронцова О.В., Вотчель Н.Р. и др.</t>
  </si>
  <si>
    <t>978-5-98281-343-5</t>
  </si>
  <si>
    <t>08.02.14, 38.02.01, 38.02.02, 38.02.03, 38.02.06, 38.02.07, 38.02.08, 39.02.01, 39.02.02, 42.02.01, 43.02.16</t>
  </si>
  <si>
    <t>Рек. Федеральным государственным учреждением "Федеральный институт развития образования" в качестве учебника для использования в учебном процессе образоват. учреждений, реализ. программы среднего профессионального образования неюридического профиля</t>
  </si>
  <si>
    <t>Казанский (Приволжский) федеральный университет</t>
  </si>
  <si>
    <t>126500.16.01</t>
  </si>
  <si>
    <t>Основы предпринимательской деят.: Уч.пос. / Т.М.Голубева - 2 изд. - М.:Форум,НИЦ ИНФРА-М,2024 - 256 с.(ПО)(п)</t>
  </si>
  <si>
    <t>ОСНОВЫ ПРЕДПРИНИМАТЕЛЬСКОЙ ДЕЯТЕЛЬНОСТИ, ИЗД.2</t>
  </si>
  <si>
    <t>Голубева Т. М.</t>
  </si>
  <si>
    <t>978-5-91134-857-1</t>
  </si>
  <si>
    <t>126500.19.01</t>
  </si>
  <si>
    <t>Основы предпринимательской деят.: Уч.пос. / Т.М.Голубева - 3 изд. - М.:НИЦ ИНФРА-М,2026 - 288 с.(СПО)(п)</t>
  </si>
  <si>
    <t>ОСНОВЫ ПРЕДПРИНИМАТЕЛЬСКОЙ ДЕЯТЕЛЬНОСТИ, ИЗД.3</t>
  </si>
  <si>
    <t>978-5-16-018148-6</t>
  </si>
  <si>
    <t>736686.02.01</t>
  </si>
  <si>
    <t>Основы приклад. антропологии и биомеханики: Уч.пос. / Л.П.Шершнева - 2 изд.-М.:ИД Форум, НИЦ ИНФРА-М,2024.-160с(П)</t>
  </si>
  <si>
    <t>ОСНОВЫ ПРИКЛАДНОЙ АНТРОПОЛОГИИ И БИОМЕХАНИКИ, ИЗД.2</t>
  </si>
  <si>
    <t>Шершнева Л.П., Пирязева Т.В., Ларькина Л.В.</t>
  </si>
  <si>
    <t>978-5-8199-0915-7</t>
  </si>
  <si>
    <t>29.02.10, 49.02.01, 49.02.02, 49.02.03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</si>
  <si>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29.02.04 «Конструирование, моделирование и технология швейных изделий», 29.02.05 «Технология текстильных изделий (по видам)» (протокол № 19 от 09.12.2019)</t>
  </si>
  <si>
    <t>684824.06.01</t>
  </si>
  <si>
    <t>Основы программир. на языке С: Уч.пос. / В.Г.Дорогов - М.:ИД ФОРУМ,НИЦ ИНФРА-М,2023 - 224 с.-(СПО)(П)</t>
  </si>
  <si>
    <t>ОСНОВЫ ПРОГРАММИРОВАНИЯ НА ЯЗЫКЕ С</t>
  </si>
  <si>
    <t>Дорогов В.Г., Дорогова Е.Г., Гагарина Л.Г.</t>
  </si>
  <si>
    <t>978-5-8199-0809-9</t>
  </si>
  <si>
    <t>09.02.03, 11.02.17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</si>
  <si>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09.02.00 «Информатика и вычислительная техника», 10.02.00 «Информационная безопасность» (протокол № 14 от 30.09.2019)</t>
  </si>
  <si>
    <t>683030.05.01</t>
  </si>
  <si>
    <t>Основы программир.на языке Objective-C для iOS: Уч.пос. / А.В.Кузин - М.:НИЦ ИНФРА-М,2025 - 118 с.(СПО)(О)</t>
  </si>
  <si>
    <t>ОСНОВЫ ПРОГРАММИРОВАНИЯ НА ЯЗЫКЕ OBJECTIVE-C ДЛЯ IOS</t>
  </si>
  <si>
    <t>Кузин А.В., Чумакова Е.В.</t>
  </si>
  <si>
    <t>978-5-16-013986-9</t>
  </si>
  <si>
    <t>09.02.01, 09.02.02, 09.02.03, 09.02.04, 09.02.05</t>
  </si>
  <si>
    <t>845325.01.01</t>
  </si>
  <si>
    <t>Основы проектир. и разработки информ. систем: Уч.пос. / Л.Г.Гагарина - М.:НИЦ ИНФРА-М,2025. - 211 с.(СПО)(п)</t>
  </si>
  <si>
    <t>ОСНОВЫ ПРОЕКТИРОВАНИЯ И РАЗРАБОТКИ ИНФОРМАЦИОННЫХ СИСТЕМ</t>
  </si>
  <si>
    <t>Гагарина Л.Г., Шевнина Ю.С.</t>
  </si>
  <si>
    <t>978-5-16-020463-5</t>
  </si>
  <si>
    <t>08.02.01, 09.02.04, 09.02.07, 09.02.09, 09.02.10</t>
  </si>
  <si>
    <t>705353.04.01</t>
  </si>
  <si>
    <t>Основы проектир. технологий листовой штамповки: Уч.пос. / С.В.Сухов-М.:НИЦ ИНФРА-М,2023.-124 с (О)</t>
  </si>
  <si>
    <t>ОСНОВЫ ПРОЕКТИРОВАНИЯ ТЕХНОЛОГИЙ ЛИСТОВОЙ ШТАМПОВКИ</t>
  </si>
  <si>
    <t>Сухов С.В., Жаров М.В., Соколов А.В.</t>
  </si>
  <si>
    <t>978-5-16-015033-8</t>
  </si>
  <si>
    <t>15.02.01, 15.02.16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</si>
  <si>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22.02.00 «Технологии материалов» (протокол № 6 от 06.04.2020)</t>
  </si>
  <si>
    <t>771233.07.01</t>
  </si>
  <si>
    <t>Основы проектирования баз данных: Уч.пос. / В.Н.Шитов - М.:НИЦ ИНФРА-М,2026. - 236 с.(СПО)(п)</t>
  </si>
  <si>
    <t>ОСНОВЫ ПРОЕКТИРОВАНИЯ БАЗ ДАННЫХ</t>
  </si>
  <si>
    <t>978-5-16-017461-7</t>
  </si>
  <si>
    <t>09.01.03, 09.02.01, 09.02.04, 09.02.06, 09.02.07, 09.02.09, 10.02.01, 10.02.03, 11.02.12, 51.02.03, 09.02.10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</si>
  <si>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09.02.07 «Информационные системы и программирование» (протокол № 7 от 21.09.2022)</t>
  </si>
  <si>
    <t>069900.14.01</t>
  </si>
  <si>
    <t>Основы проектирования баз данных: Уч.пос. / О.Л.Голицына - 2 изд.-М.:Форум, НИЦ ИНФРА-М,2024.-416 с.(П)</t>
  </si>
  <si>
    <t>ОСНОВЫ ПРОЕКТИРОВАНИЯ БАЗ ДАННЫХ, ИЗД.2</t>
  </si>
  <si>
    <t>Голицына О.Л., Партыка Т.Л., Попов И.И.</t>
  </si>
  <si>
    <t>978-5-91134-655-3</t>
  </si>
  <si>
    <t>09.01.03, 09.02.01, 09.02.02, 09.02.03, 09.02.04, 09.02.05, 09.02.06, 09.02.07, 09.02.09, 10.02.01, 10.02.02, 10.02.03, 10.02.04, 10.02.05, 09.02.10</t>
  </si>
  <si>
    <t>Рекомендовано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</t>
  </si>
  <si>
    <t>0212</t>
  </si>
  <si>
    <t>735918.01.01</t>
  </si>
  <si>
    <t>Основы проектирования баз данных: Уч.пос./ А.В.Кузин - М.:НИЦ ИНФРА-М,2025. - 229 с.(СПО)(п)</t>
  </si>
  <si>
    <t>Кузин А.В.</t>
  </si>
  <si>
    <t>978-5-16-016312-3</t>
  </si>
  <si>
    <t>09.02.04, 09.02.06, 09.02.07, 09.02.09, 09.02.10</t>
  </si>
  <si>
    <t>166200.10.01</t>
  </si>
  <si>
    <t>Основы рекламы: Уч. пос. / Е.И. Мазилкина, Г.Г. Паничкина - М.: Альфа-М, 2023-240с. (ПРОФИль) (П)</t>
  </si>
  <si>
    <t>ОСНОВЫ РЕКЛАМЫ</t>
  </si>
  <si>
    <t>Мазилкина Е. И., Паничкина Г. Г., Ольхова Л. А.</t>
  </si>
  <si>
    <t>978-5-98281-271-1</t>
  </si>
  <si>
    <t>40.02.04, 42.01.01, 42.02.01, 54.02.08</t>
  </si>
  <si>
    <t>Рекомендовано ФГБОУ ВПО "Государственный университет управления"  в качестве учебного пособия для студентов среднего профессионального образования, обучающихся по спец. 070700 "Реклама"</t>
  </si>
  <si>
    <t>166200.14.01</t>
  </si>
  <si>
    <t>Основы рекламы: Уч.пос. / Е.И.Мазилкина - 2 изд. - М.:НИЦ ИНФРА-М,2026. - 240 с.(СПО)(п)</t>
  </si>
  <si>
    <t>ОСНОВЫ РЕКЛАМЫ, ИЗД.2</t>
  </si>
  <si>
    <t>Мазилкина Е.И., Паничкина Г.Г., Ольхова Л.А.</t>
  </si>
  <si>
    <t>978-5-16-019214-7</t>
  </si>
  <si>
    <t>697595.09.01</t>
  </si>
  <si>
    <t>Основы робототехники: Уч.пос. / А.А.Иванов - 2 изд., - М.:НИЦ ИНФРА-М,2026 - 223 с.(СПО)(п)</t>
  </si>
  <si>
    <t>ОСНОВЫ РОБОТОТЕХНИКИ, ИЗД.2</t>
  </si>
  <si>
    <t>978-5-16-014622-5</t>
  </si>
  <si>
    <t>12.02.04, 15.02.01, 15.02.03, 15.02.07, 15.02.09, 15.02.10, 15.02.16, 15.02.17, 15.02.18, 23.02.03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</si>
  <si>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15.02.07 «Автоматизация технологических процессов и производств (по отраслям)», 15.02.08 «Технология машиностроения», 15.02.09 «Аддитивные технологии», 15.02.10 «Мехатроника и мобильная робототехника (по отраслям)», 15.02.11 «Техническая эксплуатация и обслуживание роботизированного производства», 15.02.14 «Оснащение средствами автоматизации технологических процессов и производств (по отраслям)»</t>
  </si>
  <si>
    <t>818228.01.01</t>
  </si>
  <si>
    <t>Основы Рос. государственности : Уч. / Под ред. А.Д. Гулякова. — М. : РИОР, ИНФРА-М, 2024-232 с.(СПО)(п)</t>
  </si>
  <si>
    <t>ОСНОВЫ РОССИЙСКОЙ ГОСУДАРСТВЕННОСТИ</t>
  </si>
  <si>
    <t>Саломатин А.Ю., Гошуляк В.В., Сеидов Ш.Г. и др.</t>
  </si>
  <si>
    <t>978-5-369-01952-8</t>
  </si>
  <si>
    <t>00.01.03, 00.02.04</t>
  </si>
  <si>
    <t>Пензенский государственный университет</t>
  </si>
  <si>
    <t>843810.02.01</t>
  </si>
  <si>
    <t>Основы российской государственности: Уч.пос. / А.Л.Панищев - М.:НИЦ ИНФРА-М,2026. - 190 с.(СПО)(п)</t>
  </si>
  <si>
    <t>978-5-16-020405-5</t>
  </si>
  <si>
    <t>00.01.03, 00.02.04, 00.01.06, 00.02.25</t>
  </si>
  <si>
    <t>704067.02.01</t>
  </si>
  <si>
    <t>Основы современного материаловедения: Уч. / О.С.Сироткин - М.:НИЦ ИНФРА-М,2023 - 364 с.(СПО)(П)</t>
  </si>
  <si>
    <t>ОСНОВЫ СОВРЕМЕННОГО МАТЕРИАЛОВЕДЕНИЯ</t>
  </si>
  <si>
    <t>Сироткин О.С.</t>
  </si>
  <si>
    <t>978-5-16-014909-7</t>
  </si>
  <si>
    <t>13.02.01, 13.02.02, 13.02.07, 13.02.08, 13.02.09, 13.02.12, 13.02.13, 26.02.04, 55.02.01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</si>
  <si>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техническим специальностям (протокол № 17 от 11.11.2019)</t>
  </si>
  <si>
    <t>Казанский государственный энергетический университет</t>
  </si>
  <si>
    <t>736724.02.01</t>
  </si>
  <si>
    <t>Основы социальной медицины: Уч.пос. / Г.П.Артюнина - М.:НИЦ ИНФРА-М,2025 - 359 с.-(СПО)(П)</t>
  </si>
  <si>
    <t>ОСНОВЫ СОЦИАЛЬНОЙ МЕДИЦИНЫ</t>
  </si>
  <si>
    <t>Артюнина Г.П., Иванова Н.В.</t>
  </si>
  <si>
    <t>978-5-16-016264-5</t>
  </si>
  <si>
    <t>31.02.01, 39.02.01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</si>
  <si>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39.02.01 «Социальная работа», 31.02.01 «Лечебное дело», 34.02.01 «Сестринское дело» (протокол № 3 от 17.02.2020)</t>
  </si>
  <si>
    <t>Псковский государственный  университет</t>
  </si>
  <si>
    <t>061600.15.01</t>
  </si>
  <si>
    <t>Основы социологии и политологии: Уч. / Г.И.Козырев - 2 изд. - М.:ИД ФОРУМ, НИЦ ИНФРА-М,2025 - 271 c.(ПО)(П)</t>
  </si>
  <si>
    <t>ОСНОВЫ СОЦИОЛОГИИ И ПОЛИТОЛОГИИ, ИЗД.2</t>
  </si>
  <si>
    <t>Козырев Г.И.</t>
  </si>
  <si>
    <t>978-5-8199-0896-9</t>
  </si>
  <si>
    <t>00.02.21, 39.02.01, 40.02.04</t>
  </si>
  <si>
    <t>038420.11.01</t>
  </si>
  <si>
    <t>Основы социологии и политологии: Уч. пос. / М.В.Кернаценский, - 2 изд. - М.:Форум,2026. - 224 с.(П)</t>
  </si>
  <si>
    <t>Кернаценский М. В., Шатина Н. В.</t>
  </si>
  <si>
    <t>978-5-91134-381-1</t>
  </si>
  <si>
    <t>39.01.01, 39.02.01, 39.02.02</t>
  </si>
  <si>
    <t>129200.06.01</t>
  </si>
  <si>
    <t>Основы социологии и политологии: Уч. пос./ Р.Ф. Матвеев. - М.: Форум, 2025. - 256 с. (п)</t>
  </si>
  <si>
    <t>ОСНОВЫ СОЦИОЛОГИИ И ПОЛИТОЛОГИИ</t>
  </si>
  <si>
    <t>Матвеев Р. Ф.</t>
  </si>
  <si>
    <t>978-5-91134-411-5</t>
  </si>
  <si>
    <t>39.01.01, 39.02.01, 40.02.04</t>
  </si>
  <si>
    <t>142450.13.01</t>
  </si>
  <si>
    <t>Основы социологии и политологии: Уч.пос. / Ю.Г.Волков - 2 изд. - М.:НИЦ ИНФРА-М,2026 - 204 с.(СПО)(П)</t>
  </si>
  <si>
    <t>Волков Ю.Г., Лубский А.В.</t>
  </si>
  <si>
    <t>978-5-16-011915-1</t>
  </si>
  <si>
    <t>31.02.01, 39.01.01, 39.02.01, 40.02.04</t>
  </si>
  <si>
    <t>Рекомендовано в качестве учебного пособия для учебных заведений, реализующих программу среднего профессионального образования</t>
  </si>
  <si>
    <t>712372.05.01</t>
  </si>
  <si>
    <t>Основы специальной педагогики и психологии: Уч. / Е.Ю.Азбукина - М.:НИЦ ИНФРА-М,2025 - 396 с.-(СПО)(П)</t>
  </si>
  <si>
    <t>ОСНОВЫ СПЕЦИАЛЬНОЙ ПЕДАГОГИКИ И ПСИХОЛОГИИ</t>
  </si>
  <si>
    <t>Азбукина Е.Ю., Михайлова Е.Н.</t>
  </si>
  <si>
    <t>978-5-16-015362-9</t>
  </si>
  <si>
    <t>37.00.00, 44.00.00, 39.02.01, 44.02.01, 44.02.02, 44.02.03, 44.02.04, 44.02.05, 44.02.06, 49.02.01, 49.02.02, 51.02.01, 53.02.01, 54.02.06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</si>
  <si>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 (протокол № 5 от 11.03.2019)</t>
  </si>
  <si>
    <t>КОРПОРАТИВНЫЙ УНИВЕРСИТЕТ МОСКОВСКОГО ОБРАЗОВАНИ</t>
  </si>
  <si>
    <t>134450.13.01</t>
  </si>
  <si>
    <t>Основы статистики: Уч. пос. / С.А. Канцедал. - М.: ИД ФОРУМ: ИНФРА-М, 2025. - 192 с.(ПО) (П)</t>
  </si>
  <si>
    <t>ОСНОВЫ СТАТИСТИКИ</t>
  </si>
  <si>
    <t>978-5-8199-0439-8</t>
  </si>
  <si>
    <t>Рекомендовано методическим советом Иститута искусств и информационных технологий в качестве учебного пособия для студентов средних специальных учебных заведений, обучающихся по группе специальностей "Экономика и управление"</t>
  </si>
  <si>
    <t>049750.20.01</t>
  </si>
  <si>
    <t>Основы теории автомобил. двигателей и автомобиля: Уч.пос. / В.А.Стуканов - М.:НИЦ ИНФРА-М,2026. - 368 с.(СПО)(п)</t>
  </si>
  <si>
    <t>ОСНОВЫ ТЕОРИИ АВТОМОБИЛЬНЫХ ДВИГАТЕЛЕЙ И АВТОМОБИЛЯ</t>
  </si>
  <si>
    <t>978-5-16-021151-0</t>
  </si>
  <si>
    <t>452950.13.01</t>
  </si>
  <si>
    <t>Основы теории информации: справ.: Уч.пос. / А.М.Маскаева - 2 изд. - М.:Форум, НИЦ ИНФРА-М,2024 - 194 с.(П)</t>
  </si>
  <si>
    <t>ОСНОВЫ ТЕОРИИ ИНФОРМАЦИИ: СПРАВОЧНИК, ИЗД.2</t>
  </si>
  <si>
    <t>Маскаева А.М.</t>
  </si>
  <si>
    <t>978-5-00091-761-9</t>
  </si>
  <si>
    <t>09.02.01, 09.02.02, 09.02.03, 09.02.04, 09.02.05, 09.02.06, 10.02.01, 10.02.02, 10.02.03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</si>
  <si>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09.02.05 «Прикладная информатика (по отраслям)», 09.02.06 «Сетевое и системное администрирование» (протокол № 1 от 20.01.2021)</t>
  </si>
  <si>
    <t>Колледж автоматизации и информационных технологий №20, г. Москва</t>
  </si>
  <si>
    <t>452950.12.01</t>
  </si>
  <si>
    <t>Основы теории информации: справочник: Уч.пос. / А.М.Маскаева - М.:Форум, НИЦ ИНФРА-М,2021 - 96 с.(О)</t>
  </si>
  <si>
    <t>ОСНОВЫ ТЕОРИИ ИНФОРМАЦИИ: СПРАВОЧНИК</t>
  </si>
  <si>
    <t>978-5-00091-456-4</t>
  </si>
  <si>
    <t>Рекомендовано экспертным советом при ГБОУ УМЦ по профессиональному образованию Департамента образования города Москвы для использования в образовательном процессе учреждений среднего профессионального образования</t>
  </si>
  <si>
    <t>710083.01.01</t>
  </si>
  <si>
    <t>Основы теории надежности машин: Уч.пос. / Ю.В.Баженов-М.:НИЦ ИНФРА-М,2019.-320 с.(СПО)(П)</t>
  </si>
  <si>
    <t>ОСНОВЫ ТЕОРИИ НАДЕЖНОСТИ МАШИН</t>
  </si>
  <si>
    <t>Баженов Ю.В.</t>
  </si>
  <si>
    <t>978-5-16-015377-3</t>
  </si>
  <si>
    <t>23.02.02, 23.02.03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</si>
  <si>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23.02.00 «Техника и технологии наземного транспорта» (протокол № 12 от 24.06.2019)</t>
  </si>
  <si>
    <t>683035.02.01</t>
  </si>
  <si>
    <t>Основы теории цепей. Прак.: Уч.пос. / Под ред. Арсеньева Г.Н.-М.:ИД Форум, НИЦ ИНФРА-М,2023.-336 с.(СПО)(П)</t>
  </si>
  <si>
    <t>ОСНОВЫ ТЕОРИИ ЦЕПЕЙ. ПРАКТИКУМ</t>
  </si>
  <si>
    <t>Арсеньев Г.Н., Градов И.И., Арсеньев Г.Н.</t>
  </si>
  <si>
    <t>978-5-8199-0798-6</t>
  </si>
  <si>
    <t>11.02.03, 11.02.06, 11.02.07, 11.02.09, 11.02.11, 11.02.15, 11.02.17, 11.02.18, 11.02.19, 24.02.04</t>
  </si>
  <si>
    <t>683042.02.01</t>
  </si>
  <si>
    <t>Основы теории цепей: Уч.пос. / Под ред. Арсеньева Г.Н.-М.:ИД Форум, НИЦ ИНФРА-М,2023.-448 с.(СПО)(П)</t>
  </si>
  <si>
    <t>ОСНОВЫ ТЕОРИИ ЦЕПЕЙ</t>
  </si>
  <si>
    <t>Арсеньев Г.Н., Бондаренко В.Н., Чепурнов И.А. и др.</t>
  </si>
  <si>
    <t>978-5-8199-0799-3</t>
  </si>
  <si>
    <t>11.02.03, 11.02.06, 11.02.07, 11.02.09, 11.02.11, 11.02.13, 11.02.14, 11.02.15, 11.02.16, 11.02.17, 11.02.18, 11.02.19, 24.02.04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</si>
  <si>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11.02.00 "Электроника, радиотехника и системы связи" (протокол № 5 от 16.03.2020)</t>
  </si>
  <si>
    <t>708998.07.01</t>
  </si>
  <si>
    <t>Основы техн. процес. обраб. металлов давл.: Уч./И.Л.Константинов, - 2 изд., - М:НИЦ ИНФРА-М,2025 - 487с(П)</t>
  </si>
  <si>
    <t>ОСНОВЫ ТЕХНОЛОГИЧЕСКИХ ПРОЦЕССОВ ОБРАБОТКИ МЕТАЛЛОВ ДАВЛЕНИЕМ, ИЗД.2</t>
  </si>
  <si>
    <t>978-5-16-017926-1</t>
  </si>
  <si>
    <t>12.02.04, 15.02.01, 15.02.16, 15.02.17, 15.02.18, 18.01.35, 18.02.04, 18.02.05, 18.02.07, 18.02.09, 18.02.10, 18.02.13, 18.02.14, 26.02.02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</si>
  <si>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22.02.00 «Технологии материалов» (протокол № 5 от 11.03.2019)</t>
  </si>
  <si>
    <t>719351.04.01</t>
  </si>
  <si>
    <t>Основы технич. эксплуатации электрич. и электромеханич. оборуд.: Уч. / Д.В.Ерошенко - 2 изд. - М.:НИЦ ИНФРА-М,2025 - 295с.(П)</t>
  </si>
  <si>
    <t>ОСНОВЫ ТЕХНИЧЕСКОЙ ЭКСПЛУАТАЦИИ ЭЛЕКТРИЧЕСКОГО И ЭЛЕКТРОМЕХАНИЧЕСКОГО ОБОРУДОВАНИЯ, ИЗД.2</t>
  </si>
  <si>
    <t>Ерошенко Д.В., Кондратьева Н.П., Бакиров С.М.</t>
  </si>
  <si>
    <t>978-5-16-015624-8</t>
  </si>
  <si>
    <t>11.01.02, 11.01.05, 13.02.07, 13.02.08, 13.02.09, 13.02.12, 13.02.13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</si>
  <si>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35.02.08 «Электрификация и автоматизация сельского хозяйства» (протокол № 10 от 15.12.2021)</t>
  </si>
  <si>
    <t>067350.20.01</t>
  </si>
  <si>
    <t>Основы технологии и орг. строит.-монтажных работ: Уч. / С.Д.Сокова - М.:НИЦ ИНФРА-М,2026 - 208 с.(СПО)(П)</t>
  </si>
  <si>
    <t>ОСНОВЫ ТЕХНОЛОГИИ И ОРГАНИЗАЦИИ СТРОИТЕЛЬНО-МОНТАЖНЫХ РАБОТ</t>
  </si>
  <si>
    <t>Сокова С. Д.</t>
  </si>
  <si>
    <t>978-5-16-005552-7</t>
  </si>
  <si>
    <t>07.02.01, 08.01.29, 08.01.30, 08.02.01, 08.02.02, 08.02.03, 08.02.04, 08.02.08, 08.02.13, 08.02.14, 35.02.12</t>
  </si>
  <si>
    <t>707000.04.01</t>
  </si>
  <si>
    <t>Основы технологии машиностроения: Уч. / В.В.Клепиков и др. - М.:НИЦ ИНФРА-М,2025 - 295 с.(СПО)(П)</t>
  </si>
  <si>
    <t>ОСНОВЫ ТЕХНОЛОГИИ МАШИНОСТРОЕНИЯ</t>
  </si>
  <si>
    <t>Клепиков В.В., Султан-заде Н.М., Солдатов В.Ф. и др.</t>
  </si>
  <si>
    <t>978-5-16-015145-8</t>
  </si>
  <si>
    <t>15.02.04, 15.02.16, 15.02.19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</si>
  <si>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15.02.00 «Машиностроение» (протокол № 9 от 13.05.2019)</t>
  </si>
  <si>
    <t>719229.03.01</t>
  </si>
  <si>
    <t>Основы технологии машиностроения: Уч.пос. / В.Ф.Скворцов - 2 изд. - М.:НИЦ ИНФРА-М,2025. - 330 с.(СПО)(П)</t>
  </si>
  <si>
    <t>ОСНОВЫ ТЕХНОЛОГИИ МАШИНОСТРОЕНИЯ, ИЗД.2</t>
  </si>
  <si>
    <t>Скворцов В.Ф.</t>
  </si>
  <si>
    <t>978-5-16-015600-2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</si>
  <si>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машиностроительным специальностям (протокол № 6 от 06.04.2020)</t>
  </si>
  <si>
    <t>720417.05.01</t>
  </si>
  <si>
    <t>Основы технологии переработки и товаровед.прод.тов...: Уч.пос. / Г.В.Чебакова - 2 изд. - М.:НИЦ ИНФРА-М,2026. - 336 с.(П)</t>
  </si>
  <si>
    <t>ОСНОВЫ ТЕХНОЛОГИИ ПЕРЕРАБОТКИ И ТОВАРОВЕДЕНИЕ ПРОДОВОЛЬСТВЕННЫХ ТОВАРОВ ИЗ СЫРЬЯ ЖИВОТНОГО ПРОИСХОЖДЕНИЯ, ИЗД.2</t>
  </si>
  <si>
    <t>Чебакова Г.В., Горбачева М.В., Есепенок К.В.</t>
  </si>
  <si>
    <t>978-5-16-015699-6</t>
  </si>
  <si>
    <t>19.01.18, 19.01.19, 19.02.10, 19.02.12, 19.02.13, 35.01.23, 38.02.08, 43.01.01, 43.01.04, 43.01.09, 43.02.01, 43.02.15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</si>
  <si>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38.02.05 «Товароведение и экспертиза качества потребительских товаров» (протокол № 5 от 19.05.2021)</t>
  </si>
  <si>
    <t>703216.07.01</t>
  </si>
  <si>
    <t>Основы технологии сборки в машиностроении: Уч.пос. / И.В.Шрубченко - М.:НИЦ ИНФРА-М,2025 - 235 с.(СПО)(П)</t>
  </si>
  <si>
    <t>ОСНОВЫ ТЕХНОЛОГИИ СБОРКИ В МАШИНОСТРОЕНИИ</t>
  </si>
  <si>
    <t>Шрубченко И.В., Дуюн Т.А., Погонин А.А. и др.</t>
  </si>
  <si>
    <t>978-5-16-014867-0</t>
  </si>
  <si>
    <t>15.01.35, 15.01.37, 15.02.04, 15.02.16, 15.02.17, 15.02.19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</si>
  <si>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(профессии) 15.02.07 «Автоматизация технологических процессов и производств (по отраслям)», 15.02.08 «Технология машиностроения» (протокол № 2 от 28.01.2019)</t>
  </si>
  <si>
    <t>690240.05.01</t>
  </si>
  <si>
    <t>Основы товароведения продовольственных товаров: Уч.пос. / Т.С.Павлова - М.:НИЦ ИНФРА-М,2026 - 221с(П)</t>
  </si>
  <si>
    <t>ОСНОВЫ ТОВАРОВЕДЕНИЯ ПРОДОВОЛЬСТВЕННЫХ ТОВАРОВ</t>
  </si>
  <si>
    <t>Павлова Т.С.</t>
  </si>
  <si>
    <t>978-5-16-014724-6</t>
  </si>
  <si>
    <t>19.01.18, 19.01.19, 19.02.10, 19.02.13, 35.01.23, 38.02.08, 43.01.01, 43.01.04, 43.01.09, 43.02.15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</si>
  <si>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38.02.05 «Товароведение и экспертиза качества потребительских товаров», 38.02.04 «Коммерция (по отраслям)» (протокол № 3 от 17.02.2020)</t>
  </si>
  <si>
    <t>694549.03.01</t>
  </si>
  <si>
    <t>Основы триботехники: Уч. / А.И.Доценко - М.:НИЦ ИНФРА-М,2023 - 336 с.-(СПО)(П)</t>
  </si>
  <si>
    <t>ОСНОВЫ ТРИБОТЕХНИКИ</t>
  </si>
  <si>
    <t>Доценко А.И., Буяновский И.А.</t>
  </si>
  <si>
    <t>978-5-16-014515-0</t>
  </si>
  <si>
    <t>08.02.01, 08.02.02, 08.02.12, 23.02.04, 23.02.08</t>
  </si>
  <si>
    <t>Рекомендовано Учебно-методическим советом СПО в качестве учебника для учебных заведений, реализующих программу среднего профессионального образования на базе основного общего образования</t>
  </si>
  <si>
    <t>727117.07.01</t>
  </si>
  <si>
    <t>Основы турагентской и туроператорской деят.: Уч.пос. / Н.А.Агешкина - М.:НИЦ ИНФРА-М,2025 - 567 с.(СПО)(П)</t>
  </si>
  <si>
    <t>ОСНОВЫ ТУРАГЕНТСКОЙ И ТУРОПЕРАТОРСКОЙ ДЕЯТЕЛЬНОСТИ</t>
  </si>
  <si>
    <t>Агешкина Н.А.</t>
  </si>
  <si>
    <t>978-5-16-015973-7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</si>
  <si>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43.02.10 «Туризм» (протокол № 11 от 09.11.2020)</t>
  </si>
  <si>
    <t>754590.05.01</t>
  </si>
  <si>
    <t>Основы управ. ассортимент. непродовольственных товаров: Уч. / Н.С.Моисеенко - М.:НИЦ ИНФРА-М,2026. - 306 с.(п)</t>
  </si>
  <si>
    <t>ОСНОВЫ УПРАВЛЕНИЯ АССОРТИМЕНТОМ НЕПРОДОВОЛЬСТВЕННЫХ ТОВАРОВ</t>
  </si>
  <si>
    <t>Моисеенко Н.С.</t>
  </si>
  <si>
    <t>978-5-16-017826-4</t>
  </si>
  <si>
    <t>Ростовский Технологический Техникум Сервиса</t>
  </si>
  <si>
    <t>838478.01.01</t>
  </si>
  <si>
    <t>Основы управ. перевозочными процессами: Уч.пос. / Д.Ю.Левин - М.:НИЦ ИНФРА-М,2025 - 264 с(СПО)(п)</t>
  </si>
  <si>
    <t>ОСНОВЫ УПРАВЛЕНИЯ ПЕРЕВОЗОЧНЫМИ ПРОЦЕССАМИ</t>
  </si>
  <si>
    <t>Левин Д.Ю.</t>
  </si>
  <si>
    <t>978-5-16-020207-5</t>
  </si>
  <si>
    <t>23.02.01, 23.02.08, 27.02.03</t>
  </si>
  <si>
    <t>769199.05.01</t>
  </si>
  <si>
    <t>Основы управления в органах внутренних дел: Уч. / И.Г.Бавсун - М.:НИЦ ИНФРА-М,2025. - 213 с.-(СПО)(п)</t>
  </si>
  <si>
    <t>ОСНОВЫ УПРАВЛЕНИЯ В ОРГАНАХ ВНУТРЕННИХ ДЕЛ</t>
  </si>
  <si>
    <t>Бавсун И.Г.</t>
  </si>
  <si>
    <t>978-5-16-017353-5</t>
  </si>
  <si>
    <t>Российский государственный университет правосудия, Северо-Западный ф-л</t>
  </si>
  <si>
    <t>683411.05.01</t>
  </si>
  <si>
    <t>Основы учебно-познавательной деят. студ. колледжа...: Уч.пос. / В.А. Беликов - М.:ИНФРА-М,2025 - 179с(п)</t>
  </si>
  <si>
    <t>ОСНОВЫ УЧЕБНО-ПОЗНАВАТЕЛЬНОЙ ДЕЯТЕЛЬНОСТИ СТУДЕНТОВ КОЛЛЕДЖА. МЕТОДИЧЕСКИЕ СОВЕТЫ ОБУЧАЮЩИМСЯ ПО ФОРМИРОВАНИЮ БАЗОВЫХ УЧЕБНЫХ УМЕНИЙ</t>
  </si>
  <si>
    <t>Беликов В.А., Романов П.Ю.</t>
  </si>
  <si>
    <t>978-5-16-014399-6</t>
  </si>
  <si>
    <t>08.02.03, 31.02.01, 44.02.03, 44.02.05, 44.02.06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</si>
  <si>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на базе основного общего образования</t>
  </si>
  <si>
    <t>Уфимский Университет Науки и Технологий, Сибайский институт ф-л</t>
  </si>
  <si>
    <t>075500.26.01</t>
  </si>
  <si>
    <t>Основы философии: Уч. / О.Д.Волкогонова - М.:ИД ФОРУМ,НИЦ ИНФРА-М,2026 - 480 с.(СПО)(П)</t>
  </si>
  <si>
    <t>ОСНОВЫ ФИЛОСОФИИ</t>
  </si>
  <si>
    <t>Волкогонова О.Д., Сидорова Н.М.</t>
  </si>
  <si>
    <t>978-5-8199-0694-1</t>
  </si>
  <si>
    <t>00.02.11, 13.02.05, 26.02.03, 26.02.06, 27.02.06, 33.02.01, 35.02.10, 43.02.15</t>
  </si>
  <si>
    <t>Московский государственный университет им. М.В. Ломоносова, философский факультет</t>
  </si>
  <si>
    <t>686614.04.01</t>
  </si>
  <si>
    <t>Основы философии: Уч. / Под ред. Липского Б.И. - М.:НИЦ ИНФРА-М,2025. - 307 с.(СПО)(п)</t>
  </si>
  <si>
    <t>Липский Б.И., Гусев С.С., Тульчинский Г.Л. и др.</t>
  </si>
  <si>
    <t>978-5-16-015005-5</t>
  </si>
  <si>
    <t>00.02.11, 26.02.06, 35.02.10, 43.02.15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</si>
  <si>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на базе основного общего образования (протокол № 9 от 28.09.2020)</t>
  </si>
  <si>
    <t>647890.08.01</t>
  </si>
  <si>
    <t>Основы философии: Уч.мет.пос. / Т.В.Голубева - М.:Форум, НИЦ ИНФРА-М,2024. - 266 с.(СПО)(п)</t>
  </si>
  <si>
    <t>Голубева Т.В.</t>
  </si>
  <si>
    <t>978-5-00091-437-3</t>
  </si>
  <si>
    <t>00.02.11</t>
  </si>
  <si>
    <t>Рекомендовано в качестве учебного пособия для учебных заведений, реализующих программу среднего профессионального образования по всем специальностям</t>
  </si>
  <si>
    <t>785362.01.01</t>
  </si>
  <si>
    <t>Основы философии: Уч.пос. / А.Д.Барышева - М.:НИЦ ИНФРА-М,2025. - 197 с.(СПО)(п)</t>
  </si>
  <si>
    <t>978-5-16-018054-0</t>
  </si>
  <si>
    <t>703533.03.01</t>
  </si>
  <si>
    <t>Основы философии: Уч.пос. / А.Т.Свергузов - М.:НИЦ ИНФРА-М,2025 - 147 с.(СПО)(П)</t>
  </si>
  <si>
    <t>Свергузов А.Т.</t>
  </si>
  <si>
    <t>978-5-16-014880-9</t>
  </si>
  <si>
    <t>043300.25.01</t>
  </si>
  <si>
    <t>Основы философии: Уч.пос. / В.Д.Губин - 4 изд. - М.:Форум,НИЦ ИНФРА-М,2024 - 288 с.-(СПО)(п)</t>
  </si>
  <si>
    <t>ОСНОВЫ ФИЛОСОФИИ, ИЗД.4</t>
  </si>
  <si>
    <t>Губин В.Д.</t>
  </si>
  <si>
    <t>978-5-00091-484-7</t>
  </si>
  <si>
    <t>00.02.11, 13.02.05, 33.02.01, 34.02.02, 38.02.01, 38.02.06</t>
  </si>
  <si>
    <t>845324.01.01</t>
  </si>
  <si>
    <t>Основы финансовой грамотности: Уч. / Н.Г.Гаджиев. - М.:НИЦ ИНФРА-М,2025. - 245 с.(СПО)(п)</t>
  </si>
  <si>
    <t>ОСНОВЫ ФИНАНСОВОЙ ГРАМОТНОСТИ</t>
  </si>
  <si>
    <t>978-5-16-020462-8</t>
  </si>
  <si>
    <t>00.01.07, 00.02.26</t>
  </si>
  <si>
    <t>838830.03.01</t>
  </si>
  <si>
    <t>Основы финансовой грамотности: Уч.пос. / А.П.Гарнов - М.:НИЦ ИНФРА-М,2026. - 211 с.(СПО)(п)</t>
  </si>
  <si>
    <t>Гарнов А.П.</t>
  </si>
  <si>
    <t>978-5-16-020229-7</t>
  </si>
  <si>
    <t>732931.09.01</t>
  </si>
  <si>
    <t>Основы финансовой грамотности: Уч.пос. / Под ред. Кальней В.А. - М.:НИЦ ИНФРА-М,2025 - 248 с.(СПО)(П)</t>
  </si>
  <si>
    <t>Кальней В.А., Рогулина М.Р., Овсянникова Т.В. и др.</t>
  </si>
  <si>
    <t>978-5-16-016198-3</t>
  </si>
  <si>
    <t>21.02.10, 21.02.11, 26.02.03, 26.02.05, 26.02.06, 00.01.07, 00.02.26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</si>
  <si>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образовательную программу среднего профессионального образования   (протокол № 6 от 16.06.2021)</t>
  </si>
  <si>
    <t>682883.06.01</t>
  </si>
  <si>
    <t>Основы флористики: Уч.пос. / И.С.Шевченко - М.:НИЦ ИНФРА-М,2026. - 269 с.(СПО)(П)</t>
  </si>
  <si>
    <t>ОСНОВЫ ФЛОРИСТИКИ</t>
  </si>
  <si>
    <t>978-5-16-014336-1</t>
  </si>
  <si>
    <t>43.01.11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</si>
  <si>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43.02.05 «Флористика» (протокол № 6 от 08.06.2022)</t>
  </si>
  <si>
    <t>727905.01.01</t>
  </si>
  <si>
    <t>Основы функционир. гостиничной индустрии: Уч.пос. / Н.А.Агешкина-М.:НИЦ ИНФРА-М,2023.-328 с.(п)</t>
  </si>
  <si>
    <t>ОСНОВЫ ФУНКЦИОНИРОВАНИЯ ГОСТИНИЧНОЙ ИНДУСТРИИ</t>
  </si>
  <si>
    <t>978-5-16-015974-4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</si>
  <si>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43.02.14 «Гостиничное дело» и 43.02.10 «Туризм» (протокол № 8 от 19.10.2022)</t>
  </si>
  <si>
    <t>391900.09.01</t>
  </si>
  <si>
    <t>Основы эконом.,менедж. и маркетинг пред.питания: Уч. / А.М.Фридман - М.:ИЦ РИОР,НИЦ ИНФРА-М,2025 - 229 с.(ПО)(п)</t>
  </si>
  <si>
    <t>ОСНОВЫ  ЭКОНОМИКИ,МЕНЕДЖМЕНТА И МАРКЕТИНГА ПРЕДПРИЯТИЯ ПИТАНИЯ</t>
  </si>
  <si>
    <t>978-5-369-01516-2</t>
  </si>
  <si>
    <t>19.02.10, 19.02.11, 19.02.12, 43.02.01, 43.02.16</t>
  </si>
  <si>
    <t>036050.19.01</t>
  </si>
  <si>
    <t>Основы экономики: Уч.пос. / З.К.Океанова - 5 изд. - М.:ИД ФОРУМ, НИЦ ИНФРА-М,2026 - 287 с.-(СПО)(П)</t>
  </si>
  <si>
    <t>ОСНОВЫ ЭКОНОМИКИ, ИЗД.5</t>
  </si>
  <si>
    <t>Океанова З.К.</t>
  </si>
  <si>
    <t>978-5-8199-0728-3</t>
  </si>
  <si>
    <t>Рекомендовано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38.00.00 «Экономика и управление»</t>
  </si>
  <si>
    <t>0517</t>
  </si>
  <si>
    <t>079670.16.01</t>
  </si>
  <si>
    <t>Основы экономической теории: Уч. / В.Г.Слагода, - 3 изд. - М.:Форум, ИНФРА-М,2025. - 269 с.(СПО)(О)</t>
  </si>
  <si>
    <t>ОСНОВЫ ЭКОНОМИЧЕСКОЙ ТЕОРИИ, ИЗД.3</t>
  </si>
  <si>
    <t>Слагода В. Г.</t>
  </si>
  <si>
    <t>978-5-00091-091-7</t>
  </si>
  <si>
    <t>38.01.01, 38.01.03, 38.02.01, 38.02.02, 38.02.03, 38.02.06, 38.02.07</t>
  </si>
  <si>
    <t>Допущено Министерством образования и науки Российской Федерации в качестве учебника для студентов образовательных учреждений профессионального образования</t>
  </si>
  <si>
    <t>Финансовый колледж № 35, г. Москва</t>
  </si>
  <si>
    <t>061670.24.01</t>
  </si>
  <si>
    <t>Основы эксплуатации оборуд. и систем газоснабжения: Уч. / О.Н.Брюханов - М.:НИЦ ИНФРА-М,2026 - 256 с.(П)</t>
  </si>
  <si>
    <t>ОСНОВЫ ЭКСПЛУАТАЦИИ ОБОРУДОВАНИЯ И СИСТЕМ ГАЗОСНАБЖЕНИЯ</t>
  </si>
  <si>
    <t>Брюханов О.Н., Плужников А.И.</t>
  </si>
  <si>
    <t>978-5-16-009539-4</t>
  </si>
  <si>
    <t>Допущено Государственным комитетом Российской Федерации по строительству и жилищно-коммунальному комплексу в качестве учебника для студентов средних специальных учебных заведений, обучающихся по специальности 08.02.08 «Монтаж и эксплуатация оборудования и систем газоснабжения»</t>
  </si>
  <si>
    <t>831315.03.01</t>
  </si>
  <si>
    <t>Основы эксплуатации релейной защиты и авто.: Уч.пос. / Е.Г.Дорохин - М.:НИЦ ИНФРА-М,2026. - 410 с.(СПО)(п)</t>
  </si>
  <si>
    <t>ОСНОВЫ ЭКСПЛУАТАЦИИ РЕЛЕЙНОЙ ЗАЩИТЫ И АВТОМАТИКИ</t>
  </si>
  <si>
    <t>Дорохин Е.Г.</t>
  </si>
  <si>
    <t>978-5-16-019963-4</t>
  </si>
  <si>
    <t>12.01.07, 12.02.07, 13.01.07, 13.02.07, 13.02.12, 15.01.18, 18.01.28, 18.01.35, 18.02.04, 18.02.05, 18.02.07, 18.02.09, 18.02.10, 18.02.13, 18.02.14, 19.01.01, 19.02.11, 19.02.12, 22.02.08, 26.02.02, 27.02.06, 35.02.08, 35.02.18</t>
  </si>
  <si>
    <t>651534.14.01</t>
  </si>
  <si>
    <t>Основы электротехники: Уч. / А.В.Ситников - М.:КУРС, НИЦ ИНФРА-М,2026 - 288 с.(П)</t>
  </si>
  <si>
    <t>ОСНОВЫ ЭЛЕКТРОТЕХНИКИ</t>
  </si>
  <si>
    <t>Ситников А.В.</t>
  </si>
  <si>
    <t>978-5-906923-14-1</t>
  </si>
  <si>
    <t>09.02.01, 21.02.15, 21.02.18, 23.01.17, 26.02.04, 35.01.27</t>
  </si>
  <si>
    <t>071700.13.01</t>
  </si>
  <si>
    <t>Основы этики: Уч. / А.В.Разин - М.:ИД ФОРУМ, НИЦ ИНФРА-М,2025. - 304 с.(СПО)(п)</t>
  </si>
  <si>
    <t>ОСНОВЫ ЭТИКИ</t>
  </si>
  <si>
    <t>Разин А. В.</t>
  </si>
  <si>
    <t>978-5-8199-0261-5</t>
  </si>
  <si>
    <t>00.02.11, 00.02.33</t>
  </si>
  <si>
    <t>063450.04.01</t>
  </si>
  <si>
    <t>Основы этики: Уч./ В.Д.Губин, - 3 изд., - М.:НИЦ ИНФРА-М,2025. - 254 с.(СПО)(п)</t>
  </si>
  <si>
    <t>ОСНОВЫ ЭТИКИ, ИЗД.3</t>
  </si>
  <si>
    <t>Губин В.Д., Некрасова Е.Н.</t>
  </si>
  <si>
    <t>978-5-16-016872-2</t>
  </si>
  <si>
    <t>31.01.01, 31.02.01, 31.02.02, 31.02.03, 31.02.04, 31.02.05, 31.02.06, 32.02.01, 34.01.01, 34.02.01, 34.02.02, 39.01.01, 39.02.01, 39.02.03</t>
  </si>
  <si>
    <t>691158.04.01</t>
  </si>
  <si>
    <t>Особенности питания и удобр.овощных культ...: Уч.пос. / В.В.Кидин - М.:НИЦ ИНФРА-М,2024-202с(СПО)(П)</t>
  </si>
  <si>
    <t>ОСОБЕННОСТИ ПИТАНИЯ И УДОБРЕНИЯ ОВОЩНЫХ КУЛЬТУР И КАРТОФЕЛЯ</t>
  </si>
  <si>
    <t>978-5-16-014393-4</t>
  </si>
  <si>
    <t>19.02.11, 19.02.12, 35.01.23, 35.01.26, 35.01.27, 35.02.05, 35.02.07, 35.02.16</t>
  </si>
  <si>
    <t>684895.06.01</t>
  </si>
  <si>
    <t>Особенности техн. обработки трикот. изд.: Уч.пос. / Т.В.Полянская - М.:ИД ФОРУМ,НИЦ ИНФРА-М,2024 - 160с.(П)</t>
  </si>
  <si>
    <t>ОСОБЕННОСТИ ТЕХНОЛОГИИ ОБРАБОТКИ ТРИКОТАЖНЫХ ИЗДЕЛИЙ</t>
  </si>
  <si>
    <t>Полянская Т.В.</t>
  </si>
  <si>
    <t>978-5-8199-0810-5</t>
  </si>
  <si>
    <t>29.02.05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</si>
  <si>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29.02.05 «Технология текстильных изделий (по видам)»</t>
  </si>
  <si>
    <t>719464.03.01</t>
  </si>
  <si>
    <t>Особенности учета в торговле и общ. питании: Уч.пос. / Н.А.Качан - 2 изд. -  М.:НИЦ ИНФРА-М,2025 - 167 с.(П)(СПО)</t>
  </si>
  <si>
    <t>ОСОБЕННОСТИ УЧЕТА В ТОРГОВЛЕ И ОБЩЕСТВЕННОМ ПИТАНИИ, ИЗД.2</t>
  </si>
  <si>
    <t>Качан Н.А., Новосельцева С.Н.</t>
  </si>
  <si>
    <t>978-5-16-015741-2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</si>
  <si>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  (протокол № 8 от 22.06.2020)</t>
  </si>
  <si>
    <t>776956.01.01</t>
  </si>
  <si>
    <t>Осуществление кадастровых отношений: Уч.пос. / С.А.Липски-М.:НИЦ ИНФРА-М,2023.-198 с(СПО)(П)</t>
  </si>
  <si>
    <t>ОСУЩЕСТВЛЕНИЕ КАДАСТРОВЫХ ОТНОШЕНИЙ</t>
  </si>
  <si>
    <t>978-5-16-017676-5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</si>
  <si>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21.02.05 «Земельно-имущественные отношения» (протокол №10 от 21.12.2022)</t>
  </si>
  <si>
    <t>764683.01.01</t>
  </si>
  <si>
    <t>Осуществление кредитных операций: Уч. / Под ред. Бровкиной Н.Е. - М.:НИЦ ИНФРА-М,2024.-306 с.(СПО (ФинУн))(п)</t>
  </si>
  <si>
    <t>ОСУЩЕСТВЛЕНИЕ КРЕДИТНЫХ ОПЕРАЦИЙ</t>
  </si>
  <si>
    <t>Терновская Е.П., Ушанов А.Е., Бровкина Н.Е. и др.</t>
  </si>
  <si>
    <t>978-5-16-018554-5</t>
  </si>
  <si>
    <t>683084.09.01</t>
  </si>
  <si>
    <t>Отечественная история: Уч. / И.Н.Кузнецов - М.:НИЦ ИНФРА-М,2025. - 639 с.(СПО)(П)</t>
  </si>
  <si>
    <t>ОТЕЧЕСТВЕННАЯ ИСТОРИЯ</t>
  </si>
  <si>
    <t>Кузнецов И.Н.</t>
  </si>
  <si>
    <t>978-5-16-013992-0</t>
  </si>
  <si>
    <t>00.01.03, 00.02.04, 26.02.04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</si>
  <si>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</t>
  </si>
  <si>
    <t>061700.17.01</t>
  </si>
  <si>
    <t>Отопление и тепловые сети: Уч. / Ю.М.Варфоломеев - М.:НИЦ ИНФРА-М,2025 - 480 с.(СПО)(П)</t>
  </si>
  <si>
    <t>ОТОПЛЕНИЕ И ТЕПЛОВЫЕ СЕТИ</t>
  </si>
  <si>
    <t>Варфоломеев Ю.М., Кокорин О.Я.</t>
  </si>
  <si>
    <t>978-5-16-017128-9</t>
  </si>
  <si>
    <t>08.02.04, 08.02.13, 08.02.14, 13.02.02, 15.02.06, 18.01.27, 18.01.28, 19.01.01</t>
  </si>
  <si>
    <t>Леноблэнергострой</t>
  </si>
  <si>
    <t>706668.04.01</t>
  </si>
  <si>
    <t>Охрана общественного порядка: Уч.пос. / А.А.Беженцев - М.:Вуз. уч., НИЦ ИНФРА-М,2025. - 251 с.(СПО)(п)</t>
  </si>
  <si>
    <t>ОХРАНА ОБЩЕСТВЕННОГО ПОРЯДКА</t>
  </si>
  <si>
    <t>978-5-9558-0639-6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</si>
  <si>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40.02.00 «Юриспруденция» (протокол № 4 от 25.02.2019)</t>
  </si>
  <si>
    <t>684804.07.01</t>
  </si>
  <si>
    <t>Охрана окружающей среды: Уч.пос. / Л.И.Егоренков - М.:НИЦ ИНФРА-М,2023 - 248 с.-(СПО)(П)</t>
  </si>
  <si>
    <t>ОХРАНА ОКРУЖАЮЩЕЙ СРЕДЫ</t>
  </si>
  <si>
    <t>Егоренков Л.И.</t>
  </si>
  <si>
    <t>978-5-16-016838-8</t>
  </si>
  <si>
    <t>00.02.01, 00.02.37, 05.02.01, 05.02.02, 05.02.03, 15.01.29, 20.02.01, 34.02.01, 35.01.01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</si>
  <si>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05.02.00 «Науки о земле»</t>
  </si>
  <si>
    <t>632395.05.01</t>
  </si>
  <si>
    <t>Охрана репродукт.здоровья и план.семьи: Уч. / Под ред. Сивочаловой О.В. - М.:НИЦ ИНФРА-М,2026 - 328 с.(П)</t>
  </si>
  <si>
    <t>ОХРАНА РЕПРОДУКТИВНОГО ЗДОРОВЬЯ И ПЛАНИРОВАНИЕ СЕМЬИ</t>
  </si>
  <si>
    <t>Сивочалова О.В., Линева О.И., Фесенко М.А. и др.</t>
  </si>
  <si>
    <t>978-5-16-011989-2</t>
  </si>
  <si>
    <t>31.02.01, 31.02.02, 34.02.01</t>
  </si>
  <si>
    <t>Рекомендовано в качестве учебника для учебных заведений, реализующих программу среднего профессионального образования по специальностям 31.02.01 «Лечебное дело», 31.02.02 «Акушерское дело», 32.02.01 «Медико-профилактическое дело»</t>
  </si>
  <si>
    <t>Научно-исследовательский институт медицины труда</t>
  </si>
  <si>
    <t>345100.15.01</t>
  </si>
  <si>
    <t>Охрана труда в обществ. питании и..: Уч.пос. / К.Я.Гайворонский - 2 изд. - М.:НИЦ ИНФРА-М,2026. - 169 с.(П)</t>
  </si>
  <si>
    <t>ОХРАНА ТРУДА В ОБЩЕСТВЕННОМ ПИТАНИИ И ТОРГОВЛЕ, ИЗД.2</t>
  </si>
  <si>
    <t>Гайворонский К.Я.</t>
  </si>
  <si>
    <t>978-5-16-017172-2</t>
  </si>
  <si>
    <t>38.02.08, 43.02.11, 43.02.15, 43.02.16</t>
  </si>
  <si>
    <t>Рекомендовано УМК в качестве учебного пособия для студентов средних специальных учебных заведений, обучающихся по профилю 19.02.10 «Технология продукции общественного питания (квалификация техник-технолог)», 38.10.02.05 «Товароведение и экспертиза качества потребительских товаров (квалификация товаровед-эксперт)», 38.02.04 «Коммерция (по отраслям)»</t>
  </si>
  <si>
    <t>345100.12.01</t>
  </si>
  <si>
    <t>Охрана труда в обществ. питании...: Уч.пос. / К.Я.Гайворонский-М.:ИД Форум, НИЦ ИНФРА-М,2023.-125 с.(О)</t>
  </si>
  <si>
    <t>ОХРАНА ТРУДА В ОБЩЕСТВЕННОМ ПИТАНИИ И ТОРГОВЛЕ</t>
  </si>
  <si>
    <t>978-5-8199-0706-1</t>
  </si>
  <si>
    <t>764409.03.01</t>
  </si>
  <si>
    <t>Охрана труда для повара-кондитера: Уч.пос./ А.В.Добычина - М.:НИЦ ИНФРА-М,2025. - 129 с.(СПО)(П)</t>
  </si>
  <si>
    <t>ОХРАНА ТРУДА ДЛЯ ПОВАРА-КОНДИТЕРА</t>
  </si>
  <si>
    <t>Добычина А.В., АВАНГАРД-БУКС О.</t>
  </si>
  <si>
    <t>978-5-16-017535-5</t>
  </si>
  <si>
    <t>43.01.09, 43.02.15</t>
  </si>
  <si>
    <t>088200.17.01</t>
  </si>
  <si>
    <t>Охрана труда на автомобил. транспорте: Уч.пос. / И.С.Туревский - М.:ИД ФОРУМ, НИЦ ИНФРА-М,2025 - 240 с.(СПО) (П)</t>
  </si>
  <si>
    <t>ОХРАНА ТРУДА НА АВТОМОБИЛЬНОМ ТРАНСПОРТЕ</t>
  </si>
  <si>
    <t>Туревский И. С.</t>
  </si>
  <si>
    <t>978-5-8199-0755-9</t>
  </si>
  <si>
    <t>15.02.16, 23.01.03, 23.01.17, 23.02.02, 23.02.03, 23.02.07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</si>
  <si>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23.02.03 «Техническое обслуживание и ремонт автомобильного транспорта»</t>
  </si>
  <si>
    <t>782043.01.01</t>
  </si>
  <si>
    <t>Охрана труда на предприятиях АПК: правов...: Уч.пос. / А.Н.Ковальчук, - 2 изд.-М.:НИЦ ИНФРА-М,2023.-451 с.(П)</t>
  </si>
  <si>
    <t>ОХРАНА ТРУДА НА ПРЕДПРИЯТИЯХ АПК: ПРАВОВЫЕ, ОРГАНИЗАЦИОННЫЕ И ТЕХНИЧЕСКИЕ АСПЕКТЫ, ИЗД.2</t>
  </si>
  <si>
    <t>978-5-16-018070-0</t>
  </si>
  <si>
    <t>19.02.10, 19.02.11, 19.02.12, 19.02.13, 35.02.07, 35.02.08, 35.02.14, 38.02.01</t>
  </si>
  <si>
    <t>Рекомендовано Учебно-методическим советом федерального государственного бюджетного образовательного учреждения высшего образования «Красноярский государственный аграрный университет» для внутривузовского использования в качестве учебного пособия для студентов, обучающихся по специальностям 19.02.08 «Технология мяса и мясных продуктов», 35.02.07 «Механизация сельского хозяйства», 35.02.08 «Электрификация и автоматизация сельского¶хозяйства», 35.02.13 «Пчеловодство», 35.02.14 «Охотоведение и звероводство», 38.02.01 «Экономика и бухгалтерский учет»</t>
  </si>
  <si>
    <t>107800.19.01</t>
  </si>
  <si>
    <t>Охрана труда: Уч. / М.В.Графкина - 3 изд. - М.:НИЦ ИНФРА-М,2026 - 212 с.(СПО)(п)</t>
  </si>
  <si>
    <t>ОХРАНА ТРУДА, ИЗД.3</t>
  </si>
  <si>
    <t>Графкина М.В.</t>
  </si>
  <si>
    <t>978-5-16-016522-6</t>
  </si>
  <si>
    <t>00.02.22, 13.02.01, 15.02.03, 15.02.06, 15.02.10, 15.02.16, 15.02.17, 15.02.18, 15.02.19, 21.02.10, 21.02.11, 24.02.01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</si>
  <si>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15.02.15 «Технология металлообрабатывающего производства»; 15.02.11 «Техническая эксплуатация и обслуживание роботизированного производства»; 15.02.14 «Оснащение средствами автоматизации технологических процессов и производств (по отраслям)» (протокол № 11 от 09.11.2020)</t>
  </si>
  <si>
    <t>107800.10.01</t>
  </si>
  <si>
    <t>Охрана труда: Уч.пос. / М.В.Графкина - 2 изд. - М.:Форум, НИЦ ИНФРА-М,2020 - 298 с.-(СПО)(П)</t>
  </si>
  <si>
    <t>ОХРАНА ТРУДА, ИЗД.2</t>
  </si>
  <si>
    <t>978-5-00091-430-4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</si>
  <si>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специальностям непроизводственной сферы</t>
  </si>
  <si>
    <t>057750.24.01</t>
  </si>
  <si>
    <t>Оценка технического состояния зданий: Уч. / В.М.Калинин - М.:НИЦ ИНФРА-М,2025 - 268 с.-(СПО)(п)</t>
  </si>
  <si>
    <t>ОЦЕНКА ТЕХНИЧЕСКОГО СОСТОЯНИЯ ЗДАНИЙ</t>
  </si>
  <si>
    <t>Калинин В.М., Сокова С.Д.</t>
  </si>
  <si>
    <t>978-5-16-004416-3</t>
  </si>
  <si>
    <t>682642.03.01</t>
  </si>
  <si>
    <t>Пакет прикладных программ: Уч.пос. / В.Н.Шитов - М.:НИЦ ИНФРА-М,2025 - 334 с.(СПО)(П)</t>
  </si>
  <si>
    <t>ПАКЕТ ПРИКЛАДНЫХ ПРОГРАММ</t>
  </si>
  <si>
    <t>978-5-16-014542-6</t>
  </si>
  <si>
    <t>09.02.01, 09.02.02, 09.02.03, 09.02.04, 09.02.05, 09.02.06, 09.02.07, 21.01.10, 21.01.15, 21.01.16, 21.02.14, 21.02.15, 21.02.16, 21.02.17, 21.02.18, 46.01.02, 46.01.03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</si>
  <si>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09.02.03 «Программирование в компьютерных системах» (протокол № 2 от 17.02.2021)</t>
  </si>
  <si>
    <t>699500.06.01</t>
  </si>
  <si>
    <t>Паразитология и паразит. болезни сельскохоз.животных: Уч. / Косминков Н.Е. - М.:НИЦ ИНФРА-М,2026 - 467 с.(п)</t>
  </si>
  <si>
    <t>ПАРАЗИТОЛОГИЯ И ПАРАЗИТАРНЫЕ БОЛЕЗНИ СЕЛЬСКОХОЗЯЙСТВЕННЫХ ЖИВОТНЫХ</t>
  </si>
  <si>
    <t>Косминков Н.Е., Лайпанов Б.К., Домацкий В.Н. и др.</t>
  </si>
  <si>
    <t>978-5-16-014697-3</t>
  </si>
  <si>
    <t>35.01.23, 35.02.09, 36.01.02, 36.01.03, 36.01.04, 36.02.01, 36.02.03</t>
  </si>
  <si>
    <t>720209.09.01</t>
  </si>
  <si>
    <t>Педагогика дет. оздоровит. лагеря: прак.: Уч.пос. / Под ред. Борисовой М.М. - М.:НИЦ ИНФРА-М,2025 - 258 с.(СПО)(п)</t>
  </si>
  <si>
    <t>ПЕДАГОГИКА ДЕТСКОГО ОЗДОРОВИТЕЛЬНОГО ЛАГЕРЯ: ПРАКТИКУМ</t>
  </si>
  <si>
    <t>Борисова М.М., Илюшина Н.Н., Павлова Н.П. и др.</t>
  </si>
  <si>
    <t>978-5-16-015674-3</t>
  </si>
  <si>
    <t>44.02.02, 44.02.03, 49.02.01</t>
  </si>
  <si>
    <t>693729.07.01</t>
  </si>
  <si>
    <t>Педагогика детского оздоров. лагеря: Уч. / Под ред. Борисовой М.М. - М.:НИЦ ИНФРА-М,2024 - 216 с.(СПО)(П)</t>
  </si>
  <si>
    <t>ПЕДАГОГИКА ДЕТСКОГО ОЗДОРОВИТЕЛЬНОГО ЛАГЕРЯ</t>
  </si>
  <si>
    <t>Илюшина Н.Н., Павлова Н.П., Щербакова Т.Н. и др.</t>
  </si>
  <si>
    <t>978-5-16-014468-9</t>
  </si>
  <si>
    <t>44.02.03, 44.02.05, 49.02.01</t>
  </si>
  <si>
    <t>841893.01.01</t>
  </si>
  <si>
    <t>Педагогика и психология детей с умств. отсталостью..: Уч. / И.М.Яковлева - М.:НИЦ ИНФРА-М,2025. - 382 с.(СПО)(п)</t>
  </si>
  <si>
    <t>ПЕДАГОГИКА И ПСИХОЛОГИЯ ДЕТЕЙ С УМСТВЕННОЙ ОТСТАЛОСТЬЮ (ИНТЕЛЛЕКТУАЛЬНЫМИ НАРУШЕНИЯМИ)</t>
  </si>
  <si>
    <t>Яковлева И.М., Браткова М.В., Караневская О.В. и др.</t>
  </si>
  <si>
    <t>978-5-16-020298-3</t>
  </si>
  <si>
    <t>44.02.03, 44.02.05</t>
  </si>
  <si>
    <t>764093.06.01</t>
  </si>
  <si>
    <t>Педагогика и психология: Уч.пос. / Л.А.Кудряшева - М.:НИЦ ИНФРА-М,2026. - 160 с.(СПО)(п)</t>
  </si>
  <si>
    <t>ПЕДАГОГИКА И ПСИХОЛОГИЯ</t>
  </si>
  <si>
    <t>Кудряшева Л.А.</t>
  </si>
  <si>
    <t>978-5-16-021183-1</t>
  </si>
  <si>
    <t>00.02.15, 08.02.03, 20.02.01, 25.02.05, 39.02.01, 44.02.01, 44.02.02, 44.02.03, 44.02.04, 44.02.05, 44.02.06, 46.02.02, 49.02.01, 49.02.02, 51.02.01, 51.02.03, 53.02.01, 54.02.06</t>
  </si>
  <si>
    <t>Рекомендовано Межрегиональным учебно-методическим советом профессионального образования для использования в учебном процессе в учебных заведениях, реализующих основную профессиональную образовательную программу СПО (протокол № 4 от 21.04.2021)</t>
  </si>
  <si>
    <t>683085.12.01</t>
  </si>
  <si>
    <t>Педагогика инклюзивного обр.: Уч. / Под ред. Назаровой Н.М. - М.:НИЦ ИНФРА-М,2026 - 335 с.(СПО)(П)</t>
  </si>
  <si>
    <t>ПЕДАГОГИКА ИНКЛЮЗИВНОГО ОБРАЗОВАНИЯ</t>
  </si>
  <si>
    <t>Богданова Т.Г., Гусейнова А.А., Назарова Н.М. и др.</t>
  </si>
  <si>
    <t>978-5-16-013993-7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</si>
  <si>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44.02.01 «Дошкольное образование», 44.02.02 «Преподавание в начальных классах», 44.02.03 «Педагогика дополнительного образования», 44.02.04 «Специальное дошкольное образование», 44.02.05 «Коррекционная педагогика в начальном образовании»</t>
  </si>
  <si>
    <t>753755.05.01</t>
  </si>
  <si>
    <t>Педагогика: Уч. / В.Г.Рындак и др. - М.:НИЦ ИНФРА-М,2026 - 421 с.(СПО)(П)</t>
  </si>
  <si>
    <t>ПЕДАГОГИКА</t>
  </si>
  <si>
    <t>Рындак В.Г., Аллагулов А.М., Челпаченко Т.В. и др.</t>
  </si>
  <si>
    <t>978-5-16-016836-4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</si>
  <si>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педагогическим специальностям (протокол № 10 от 12.10.2020)</t>
  </si>
  <si>
    <t>Оренбургский государственный педагогический университет</t>
  </si>
  <si>
    <t>720241.05.01</t>
  </si>
  <si>
    <t>Педагогика: Уч.пос. / В.М.Кроль - М.:ИЦ РИОР, НИЦ ИНФРА-М,2025 - 303 с.(СПО)(П)</t>
  </si>
  <si>
    <t>Кроль В.М.</t>
  </si>
  <si>
    <t>978-5-369-01827-9</t>
  </si>
  <si>
    <t>44.02.01, 44.02.02, 44.02.03, 44.02.04, 44.02.05, 44.02.06, 49.02.01, 49.02.02, 51.02.01, 51.02.03, 53.02.01, 54.02.06, 49.02.03</t>
  </si>
  <si>
    <t>755038.02.01</t>
  </si>
  <si>
    <t>Педагогическое мастерство: Уч.мет.пос. / З.В.Смирнова - М.:НИЦ ИНФРА-М,2025. - 261 с.(СПО)(п)</t>
  </si>
  <si>
    <t>ПЕДАГОГИЧЕСКОЕ МАСТЕРСТВО</t>
  </si>
  <si>
    <t>Смирнова З.В.</t>
  </si>
  <si>
    <t>978-5-16-017663-5</t>
  </si>
  <si>
    <t>44.02.01, 44.02.02, 44.02.06</t>
  </si>
  <si>
    <t>Некрасовский педколледж № 1</t>
  </si>
  <si>
    <t>487550.14.01</t>
  </si>
  <si>
    <t>Первичная доврачебная мед. помощь: Уч.пос. / В.Г.Лычев - М.:Форум, НИЦ ИНФРА-М,2025 - 288 с.(СПО)(П)</t>
  </si>
  <si>
    <t>ПЕРВИЧНАЯ ДОВРАЧЕБНАЯ МЕДИЦИНСКАЯ ПОМОЩЬ</t>
  </si>
  <si>
    <t>978-5-00091-754-1</t>
  </si>
  <si>
    <t>31.02.01, 31.02.02, 31.02.05, 31.02.06, 32.02.01, 33.02.01, 34.02.01, 34.02.02</t>
  </si>
  <si>
    <t>763153.05.01</t>
  </si>
  <si>
    <t>Первичная учетная документация: Уч. / Ю.И.Сигидов - М.:НИЦ ИНФРА-М,2026 - 345 с.(СПО)(П)</t>
  </si>
  <si>
    <t>ПЕРВИЧНАЯ УЧЕТНАЯ ДОКУМЕНТАЦИЯ</t>
  </si>
  <si>
    <t>Сигидов Ю.И., Калашникова Е.В., Хорольская Т.Е. и др.</t>
  </si>
  <si>
    <t>978-5-16-017100-5</t>
  </si>
  <si>
    <t>38.02.01, 43.01.09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</si>
  <si>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экономическим специальностям (протокол № 3 от 17.03.2021)</t>
  </si>
  <si>
    <t>842427.01.01</t>
  </si>
  <si>
    <t>Переработка зерна: Уч.пос. / Г.Г.Юсупова - М.:НИЦ ИНФРА-М,2025. - 404 с.(СПО)(п)</t>
  </si>
  <si>
    <t>ПЕРЕРАБОТКА ЗЕРНА</t>
  </si>
  <si>
    <t>Юсупова Г.Г.</t>
  </si>
  <si>
    <t>978-5-16-020341-6</t>
  </si>
  <si>
    <t>087750.11.01</t>
  </si>
  <si>
    <t>Периферийные устройства вычисл. техники: Уч.пос. / Т.Л.Партыка, - 3 изд.-М.:Форум, НИЦ ИНФРА-М,2024.-432 с.(СПО)(П)</t>
  </si>
  <si>
    <t>ПЕРИФЕРИЙНЫЕ УСТРОЙСТВА ВЫЧИСЛИТЕЛЬНОЙ ТЕХНИКИ, ИЗД.3</t>
  </si>
  <si>
    <t>978-5-91134-594-5</t>
  </si>
  <si>
    <t>09.01.04, 09.01.05, 09.02.01, 09.02.02, 09.02.03, 09.02.04, 09.02.05, 10.02.01, 10.02.02, 10.02.03, 10.02.05, 11.02.03, 11.02.06, 11.02.07, 11.02.09, 11.02.11, 11.02.14, 11.02.15, 11.02.17, 11.02.18, 12.02.01, 12.02.03, 12.02.05, 12.02.06, 13.02.12, 15.02.07, 15.02.17, 26.01.05, 27.02.04, 53.02.08</t>
  </si>
  <si>
    <t>187650.13.01</t>
  </si>
  <si>
    <t>Перспектива: Уч.пос. / М.А.Пресняков - 2 изд. - М.: НИЦ ИНФРА-М,2026 - 112 с.(СПО)(о)</t>
  </si>
  <si>
    <t>ПЕРСПЕКТИВА, ИЗД.2</t>
  </si>
  <si>
    <t>Пресняков М.А.</t>
  </si>
  <si>
    <t>978-5-16-021469-6</t>
  </si>
  <si>
    <t>08.01.22, 08.01.23, 15.01.13, 15.01.17, 15.01.18, 15.01.22, 15.01.29, 15.01.35, 15.01.36, 15.01.37, 29.01.09, 29.02.10, 35.01.05, 35.01.06, 35.01.28, 35.01.30, 42.02.01, 43.01.11, 43.02.17, 53.02.09, 54.01.01, 54.01.05, 54.01.06, 54.01.12, 54.01.20, 54.02.01, 54.02.02, 54.02.03, 54.02.04, 54.02.05, 54.02.06, 54.02.07, 54.02.08, 55.02.02, 55.02.03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</si>
  <si>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54.02.00 «Изобразительные и прикладные виды искусств» (протокол № 13 от 16.09.2019)</t>
  </si>
  <si>
    <t>Высшая школа народных искусств (академия)</t>
  </si>
  <si>
    <t>187650.05.01</t>
  </si>
  <si>
    <t>Перспектива: Уч.пос. / М.А.Пресняков - М.:Форум, НИЦ ИНФРА-М,2018 - 112 с.-(СПО)(о)</t>
  </si>
  <si>
    <t>ПЕРСПЕКТИВА</t>
  </si>
  <si>
    <t>978-5-00091-528-8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</si>
  <si>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специальностям 54.02.05 «Живопись», 54.02.06 «Изобразительное искусство и черчение», 54.02.01 «Дизайн»</t>
  </si>
  <si>
    <t>798337.01.01</t>
  </si>
  <si>
    <t>Письменные работы научного стиля: Уч.пос. / Л.Н.Авдонина-М.:Форум, НИЦ ИНФРА-М,2024.-72 с.(СПО)(о)</t>
  </si>
  <si>
    <t>ПИСЬМЕННЫЕ РАБОТЫ НАУЧНОГО СТИЛЯ</t>
  </si>
  <si>
    <t>Авдонина Л.Н., Гусева Т.В.</t>
  </si>
  <si>
    <t>978-5-00091-771-8</t>
  </si>
  <si>
    <t>00.02.16</t>
  </si>
  <si>
    <t>735722.05.01</t>
  </si>
  <si>
    <t>Питание как часть нац. культуры народов: Уч.пос. / Л.Е.Чередниченко - М.:НИЦ ИНФРА-М,2025.-163 с.(СПО)(п)</t>
  </si>
  <si>
    <t>ПИТАНИЕ КАК ЧАСТЬ НАЦИОНАЛЬНОЙ КУЛЬТУРЫ НАРОДОВ</t>
  </si>
  <si>
    <t>Чередниченко Л.Е.</t>
  </si>
  <si>
    <t>978-5-16-016197-6</t>
  </si>
  <si>
    <t>19.01.17, 19.01.18, 19.01.19, 19.02.12, 19.02.13, 35.01.23, 35.02.10, 43.01.04, 43.01.09, 43.02.15, 43.02.16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</si>
  <si>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19.02.10 «Технология продукции общественного питания», 43.02.01 «Организация обслуживания в общественном питании» (протокол № 8 от 22.06.2020)</t>
  </si>
  <si>
    <t>765390.06.01</t>
  </si>
  <si>
    <t>Пищевая биотехн. продуктов из сырья растит. происхож.: Уч. / О.А.Неверова - М.:НИЦ ИНФРА-М,2026 - 318 с.(П)</t>
  </si>
  <si>
    <t>ПИЩЕВАЯ БИОТЕХНОЛОГИЯ ПРОДУКТОВ ИЗ СЫРЬЯ РАСТИТЕЛЬНОГО ПРОИСХОЖДЕНИЯ</t>
  </si>
  <si>
    <t>Неверова О.А., Просеков А.Ю., Гореликова Г.А. и др.</t>
  </si>
  <si>
    <t>978-5-16-017179-1</t>
  </si>
  <si>
    <t>19.01.01, 19.01.18, 19.02.11, 19.02.12, 19.02.15, 22.02.08, 35.02.18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</si>
  <si>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19.00.00 «Промышленная экология и биотехнологии» (протокол № 5 от 19.05.2021)</t>
  </si>
  <si>
    <t>Кемеровский государственный институт культуры</t>
  </si>
  <si>
    <t>833102.01.01</t>
  </si>
  <si>
    <t>Плавание: Уч. / Н.Ж.Булгакова. - М.:НИЦ ИНФРА-М,2024. - 290 с.(СПО)(п)</t>
  </si>
  <si>
    <t>ПЛАВАНИЕ</t>
  </si>
  <si>
    <t>Булгакова Н.Ж., Морозов С.Н., Попов О.И. и др.</t>
  </si>
  <si>
    <t>978-5-16-020012-5</t>
  </si>
  <si>
    <t>00.01.05, 00.02.14, 49.02.01, 49.02.02, 49.02.03</t>
  </si>
  <si>
    <t>Рекомендован Экспертно-методическим советом Института спорта и физического воспитания федерального государственного бюджетного образовательного учреждения высшего образования «Российский государственный университет физической культуры, спорта, молодежи и туризма (ГЦОЛИФК)»  для студентов, обучающихся по дисциплине «Плавание» по направлению подготовки 49.03.01  «Физическая культура», профиль подготовки «Спортивная подготовка»</t>
  </si>
  <si>
    <t>Российский университет спорта «ГЦОЛИФК»</t>
  </si>
  <si>
    <t>735701.05.01</t>
  </si>
  <si>
    <t>Планирование и орг. машиностроит. произв...: Уч.пос. / Н.С.Сачко - 2 изд. - М.:НИЦ ИНФРА-М, ,2025 - 240 с.(П)</t>
  </si>
  <si>
    <t>ПЛАНИРОВАНИЕ И ОРГАНИЗАЦИЯ МАШИНОСТРОИТЕЛЬНОГО ПРОИЗВОДСТВА. КУРСОВОЕ ПРОЕКТИРОВАНИЕ, ИЗД.2</t>
  </si>
  <si>
    <t>Сачко Н.С., Бабук И.М.</t>
  </si>
  <si>
    <t>978-5-16-016193-8</t>
  </si>
  <si>
    <t>00.02.38, 15.01.29, 15.02.16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</si>
  <si>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15.02.00 «Машиностроение» и 38.02.00 «Экономика и управление» (протокол № 3 от 17.02.2020)</t>
  </si>
  <si>
    <t>813481.01.01</t>
  </si>
  <si>
    <t>Планирование, организация и упр. деят. персонала...: Уч.пос. / В.Н.Шитов - М.:НИЦ ИНФРА-М,2025. - 484 с.(СПО)(п)</t>
  </si>
  <si>
    <t>ПЛАНИРОВАНИЕ, ОРГАНИЗАЦИЯ И УПРАВЛЕНИЕ ДЕЯТЕЛЬНОСТЬЮ ПЕРСОНАЛА СТРУКТУРНОГО ПОДРАЗДЕЛЕНИЯ</t>
  </si>
  <si>
    <t>978-5-16-019166-9</t>
  </si>
  <si>
    <t>12.02.03, 18.02.04, 18.02.14, 18.02.15, 21.02.09, 21.02.12, 21.02.16</t>
  </si>
  <si>
    <t>772129.02.01</t>
  </si>
  <si>
    <t>Подготовка сотрудников ОВД к обеспеч. лич. безопас.: Уч.пос. / А.А.Тарасенко. - М.:НИЦ ИНФРА-М,2025. - 185 с.(П)</t>
  </si>
  <si>
    <t>ПОДГОТОВКА СОТРУДНИКОВ ОВД К ОБЕСПЕЧЕНИЮ ЛИЧНОЙ БЕЗОПАСНОСТИ</t>
  </si>
  <si>
    <t>Тарасенко А.А., Войнов П.Н., Михайликов В.Л.</t>
  </si>
  <si>
    <t>978-5-16-017444-0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</si>
  <si>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40.02.02 Правоохранительная деятельность» (протокол № 7 от 22.09.2021)</t>
  </si>
  <si>
    <t>Белгородский юридический институт Министерства внутренних дел Российской Федерации им. И.Д. Путилина</t>
  </si>
  <si>
    <t>054790.15.01</t>
  </si>
  <si>
    <t>Правила русской орфографии и пунктуации - 2 изд. - М.:ИЦ РИОР,НИЦ ИНФРА-М,2025 - 98 с.(О)</t>
  </si>
  <si>
    <t>ПРАВИЛА РУССКОЙ ОРФОГРАФИИ И ПУНКТУАЦИИ, ИЗД.2</t>
  </si>
  <si>
    <t>978-5-369-00738-9</t>
  </si>
  <si>
    <t>00.00.00, 00.02.09, 00.02.34, 31.02.01, 31.02.02, 31.02.03, 32.02.01, 33.02.01, 34.02.01, 42.02.01, 42.02.02, 43.02.11, 43.02.16, 44.02.01, 44.02.02, 44.02.03, 44.02.04, 44.02.05, 44.02.06, 46.02.01, 51.02.03</t>
  </si>
  <si>
    <t>054790.07.01</t>
  </si>
  <si>
    <t>Правила русской орфографии и пунктуации - М.:ИЦ РИОР, 2018. - 96 с.(О) [0+]</t>
  </si>
  <si>
    <t>ПРАВИЛА РУССКОЙ ОРФОГРАФИИ И ПУНКТУАЦИИ</t>
  </si>
  <si>
    <t>978-5-9557-0101-1</t>
  </si>
  <si>
    <t>045390.11.01</t>
  </si>
  <si>
    <t>Правила технической эксплуатации тепловых энергоустановок  - М.:НИЦ ИНФРА-М,2024 -184 с.(П)</t>
  </si>
  <si>
    <t>ПРАВИЛА ТЕХНИЧЕСКОЙ ЭКСПЛУАТАЦИИ ТЕПЛОВЫХ ЭНЕРГОУСТАНОВОК</t>
  </si>
  <si>
    <t>978-5-16-011778-2</t>
  </si>
  <si>
    <t>08.01.31, 08.02.09, 13.02.01, 13.02.02, 13.02.05, 13.02.13, 18.01.27, 18.01.28, 19.01.01, 38.03.01, 38.03.03, 38.04.03, 40.03.01, 40.04.01, 41.03.06</t>
  </si>
  <si>
    <t>685990.08.01</t>
  </si>
  <si>
    <t>Право социального обеспечения: Уч.пос. / А.В.Карпова - М.:НИЦ ИНФРА-М,2025 - 175 с.-(СПО)(П)</t>
  </si>
  <si>
    <t>ПРАВО СОЦИАЛЬНОГО ОБЕСПЕЧЕНИЯ</t>
  </si>
  <si>
    <t>Карпова А.В.</t>
  </si>
  <si>
    <t>978-5-16-014668-3</t>
  </si>
  <si>
    <t>39.02.01, 40.02.04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</si>
  <si>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40.02.01 «Право и организация социального обеспечения» (протокол № 13 от 16.09.2019)</t>
  </si>
  <si>
    <t>641798.07.01</t>
  </si>
  <si>
    <t>Право: Уч. / О.В.Ефимова и др. - М.:НИЦ ИНФРА-М,2025. - 386 с.(СПО)(п)</t>
  </si>
  <si>
    <t>ПРАВО</t>
  </si>
  <si>
    <t>Ефимова О.В., Ведышева Н.О., Питько Е.В.</t>
  </si>
  <si>
    <t>978-5-16-014530-3</t>
  </si>
  <si>
    <t>38.02.01, 38.02.02, 38.02.03, 38.02.06, 38.02.07, 38.02.08, 40.02.02, 40.02.04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</si>
  <si>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укрупненным группам специальностей 40.02.00 «Юриспруденция» (протокол № 2 от 28.01.2019), 38.02.00 «Экономика и управление»</t>
  </si>
  <si>
    <t>683220.06.01</t>
  </si>
  <si>
    <t>Право: Уч. / Под ред. Напалкова И.Г. - 2 изд. - М.:Юр. НОРМА, НИЦ ИНФРА-М,2025. - 576 с.(СПО)(П)</t>
  </si>
  <si>
    <t>ПРАВО, ИЗД.2</t>
  </si>
  <si>
    <t>Рукавишникова И.В., Напалкова И.Г., Позднышов А.Н.</t>
  </si>
  <si>
    <t>978-5-00156-261-0</t>
  </si>
  <si>
    <t>Рекомендовано Учебно-методическим объединением по юридическому образованию вузов Российской Федерации в качестве учебника по дисциплине «Право» для студентов образовательных организаций, обучающихся по направлению подготовки «Экономика», квалификация (степень) «бакалавр»</t>
  </si>
  <si>
    <t>Аппарат Совета Федерации Федерального Собрания Российской Федерации</t>
  </si>
  <si>
    <t>683220.03.01</t>
  </si>
  <si>
    <t>Право: Уч. / Под ред. Напалковой И.Г. - М.:Юр.Норма, НИЦ ИНФРА-М,2019 - 384 с.-(СПО)(П)</t>
  </si>
  <si>
    <t>978-5-91768-920-3</t>
  </si>
  <si>
    <t>764496.02.01</t>
  </si>
  <si>
    <t>Правоведение: Уч. / Т.Ю.Епифанцева и др. - М.:НИЦ ИНФРА-М,2025 - 428 с.-(СПО)(П)</t>
  </si>
  <si>
    <t>ПРАВОВЕДЕНИЕ</t>
  </si>
  <si>
    <t>Епифанцева Т.Ю., Загвозкина М.Я., Захарова О.Н. и др.</t>
  </si>
  <si>
    <t>978-5-16-017162-3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</si>
  <si>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основную профессиональную образовательную программу СПО (протокол от 21.04.2021 № 4)</t>
  </si>
  <si>
    <t>232900.12.01</t>
  </si>
  <si>
    <t>Правовое обеспеч. проф. деят.: Уч. / А.И.Тыщенко, - 4 изд.-М.:ИЦ РИОР, НИЦ ИНФРА-М,2022.-221 с.(СПО)(П)</t>
  </si>
  <si>
    <t>ПРАВОВОЕ ОБЕСПЕЧЕНИЕ ПРОФЕССИОНАЛЬНОЙ ДЕЯТЕЛЬНОСТИ, ИЗД.4</t>
  </si>
  <si>
    <t>Тыщенко А. И.</t>
  </si>
  <si>
    <t>978-5-369-01657-2</t>
  </si>
  <si>
    <t>00.02.08, 08.02.14</t>
  </si>
  <si>
    <t>Котовский промышленно-экономический техникум</t>
  </si>
  <si>
    <t>0417</t>
  </si>
  <si>
    <t>232900.15.01</t>
  </si>
  <si>
    <t>Правовое обеспеч. проф. деят.: Уч. / А.И.Тыщенко, - 5 изд. - М.:ИЦ РИОР, НИЦ ИНФРА-М,2025. - 212 с.(СПО)(п)</t>
  </si>
  <si>
    <t>ПРАВОВОЕ ОБЕСПЕЧЕНИЕ ПРОФЕССИОНАЛЬНОЙ ДЕЯТЕЛЬНОСТИ, ИЗД.5</t>
  </si>
  <si>
    <t>978-5-369-01944-3</t>
  </si>
  <si>
    <t>0524</t>
  </si>
  <si>
    <t>114050.22.01</t>
  </si>
  <si>
    <t>Правовое обеспечение проф. деят.: Уч. / А.Г.Хабибулин - 2 изд. - М.:ИД Форум, НИЦ ИНФРА-М,2026 - 364 с.(П)(СПО)</t>
  </si>
  <si>
    <t>ПРАВОВОЕ ОБЕСПЕЧЕНИЕ ПРОФЕССИОНАЛЬНОЙ ДЕЯТЕЛЬНОСТИ, ИЗД.2</t>
  </si>
  <si>
    <t>Хабибулин А.Г., Мурсалимов К.Р.</t>
  </si>
  <si>
    <t>978-5-8199-0874-7</t>
  </si>
  <si>
    <t>00.02.08, 08.02.08, 08.02.14, 21.02.09, 34.02.02, 40.02.04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</si>
  <si>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неюридическим специальностям (протокол № 17 от 11.11.2019)</t>
  </si>
  <si>
    <t>Московский государственный университет им. М.В. Ломоносова, юридический факультет</t>
  </si>
  <si>
    <t>758549.02.01</t>
  </si>
  <si>
    <t>Правовое обеспечение проф. деят.: Уч. / Г.С.Працко - М.:ИЦ РИОР, НИЦ ИНФРА-М,2025 - 177 с.(СПО)(П)</t>
  </si>
  <si>
    <t>ПРАВОВОЕ ОБЕСПЕЧЕНИЕ ПРОФЕССИОНАЛЬНОЙ ДЕЯТЕЛЬНОСТИ</t>
  </si>
  <si>
    <t>Працко Г.С.</t>
  </si>
  <si>
    <t>978-5-369-01869-9</t>
  </si>
  <si>
    <t>00.02.08, 12.02.01, 43.02.16, 51.02.03</t>
  </si>
  <si>
    <t>428050.17.01</t>
  </si>
  <si>
    <t>Правовое обеспечение проф. деят.: Уч. / М.А.Гуреева - М:,НИЦ ИНФРА-М,2026 - 239 с.(СПО)</t>
  </si>
  <si>
    <t>Гуреева М. А.</t>
  </si>
  <si>
    <t>978-5-16-021240-1</t>
  </si>
  <si>
    <t>00.02.08, 08.02.14, 21.02.09</t>
  </si>
  <si>
    <t>Рекомендовано в качестве учебника для студентов учреждений среднего профессионального образования</t>
  </si>
  <si>
    <t>094870.12.01</t>
  </si>
  <si>
    <t>Правовое обеспечение проф. деятельности: Крат.курс /Р.Ф.Матвеев-М:Форум,НИЦ ИНФРА-М,2024-128-(ПО)</t>
  </si>
  <si>
    <t>ПРАВОВОЕ ОБЕСПЕЧЕНИЕ ПРОФЕССИОНАЛЬНОЙ ДЕЯТЕЛЬНОСТИ, ИЗД.3</t>
  </si>
  <si>
    <t>978-5-00091-063-4</t>
  </si>
  <si>
    <t>Краткий курс</t>
  </si>
  <si>
    <t>00.02.08, 08.02.14, 34.02.02, 40.02.04</t>
  </si>
  <si>
    <t>233100.04.01</t>
  </si>
  <si>
    <t>Правовое обеспечение проф.деят.: Уч. пос./А.И.Тыщенко -2 изд.-М.:ИЦ РИОР, НИЦ ИНФРА-М,2020-203с(О)</t>
  </si>
  <si>
    <t>Тыщенко А.И.</t>
  </si>
  <si>
    <t>978-5-369-01466-0</t>
  </si>
  <si>
    <t>00.02.08, 13.02.07, 15.02.18, 21.02.13</t>
  </si>
  <si>
    <t>114050.14.01</t>
  </si>
  <si>
    <t>Правовое обеспечение проф.деятел.: Уч. / А.Г.Хабибулин - М.:ИД ФОРУМ,НИЦ ИНФРА-М,2019-336с.(ПО)(п)</t>
  </si>
  <si>
    <t>Хабибулин А. Г., Мурсалимов К. Р.</t>
  </si>
  <si>
    <t>978-5-8199-0717-7</t>
  </si>
  <si>
    <t>Рекомендовано ФГУ «Федеральный институт развития образования» в качестве учебника для использования в учебном процессе образовательных учреждений, реализующих программы среднего профессионального образования</t>
  </si>
  <si>
    <t>775476.02.01</t>
  </si>
  <si>
    <t>Правовое обеспечение социальной работы: Уч. / А.А.Акмалова - М.:НИЦ ИНФРА-М,2022 - 289 с.-(СПО)(П)</t>
  </si>
  <si>
    <t>ПРАВОВОЕ ОБЕСПЕЧЕНИЕ СОЦИАЛЬНОЙ РАБОТЫ</t>
  </si>
  <si>
    <t>Акмалова А.А., Капицын В.М.</t>
  </si>
  <si>
    <t>978-5-16-017561-4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</si>
  <si>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39.02.01 «Социальная работа» (протокол № 10 от 15.12.2021)</t>
  </si>
  <si>
    <t>773133.01.01</t>
  </si>
  <si>
    <t>Правовой режим земель и его регулирование: Уч.пос. / С.А.Липски-М.:НИЦ ИНФРА-М,2023.-236 с.(СПО)(п)</t>
  </si>
  <si>
    <t>ПРАВОВОЙ РЕЖИМ ЗЕМЕЛЬ И ЕГО РЕГУЛИРОВАНИЕ</t>
  </si>
  <si>
    <t>978-5-16-017552-2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</si>
  <si>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21.02.04 «Землеустройство» (протокол № 7 от 21.09.2022)</t>
  </si>
  <si>
    <t>848911.03.01</t>
  </si>
  <si>
    <t>Правоохранительные и судеб. органы: Уч. / Г.Б.Романовский - М.:ИЦ РИОР, НИЦ ИНФРА-М,2025. - 300 с.(СПО)(п)</t>
  </si>
  <si>
    <t>ПРАВООХРАНИТЕЛЬНЫЕ И СУДЕБНЫЕ ОРГАНЫ</t>
  </si>
  <si>
    <t>Романовский Г. Б., Романовская О. В.</t>
  </si>
  <si>
    <t>978-5-369-01975-7</t>
  </si>
  <si>
    <t>Всероссийский государственный университет юстиции (РПА Минюста России), ф-л Средне-Волжский</t>
  </si>
  <si>
    <t>771447.02.01</t>
  </si>
  <si>
    <t>Правоохранительные и судебные органы: Уч.пос. / Р.Г.Миронов - М.:НИЦ ИНФРА-М,2025. - 252 с.(СПО)(п)</t>
  </si>
  <si>
    <t>Миронов Р.Г.</t>
  </si>
  <si>
    <t>978-5-16-017833-2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</si>
  <si>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юридическим специальностям (протокол № 8 от 19.10.2022)</t>
  </si>
  <si>
    <t>Восточная экономико-юридическая гуманитарная академия</t>
  </si>
  <si>
    <t>778410.06.01</t>
  </si>
  <si>
    <t>Правоохранительные органы РФ: Уч. / Ю.Б.Чупилкин - М.:Юр. НОРМА, НИЦ ИНФРА-М,2025 - 432 с.(П)</t>
  </si>
  <si>
    <t>ПРАВООХРАНИТЕЛЬНЫЕ ОРГАНЫ РОССИЙСКОЙ ФЕДЕРАЦИИ</t>
  </si>
  <si>
    <t>Чупилкин Ю.Б., Ляхов Ю.А., Воронцов С.А. и др.</t>
  </si>
  <si>
    <t>978-5-00156-248-1</t>
  </si>
  <si>
    <t>Российская академия народного хозяйства и государственной службы при Президенте РФ, ф-л Южно-Российский институт управления</t>
  </si>
  <si>
    <t>774156.01.01</t>
  </si>
  <si>
    <t>Правоохранительные органы: Уч.пос. / А.Г.Чернявский и др.-М.:НИЦ ИНФРА-М,2022.-287 с.(СПО)(П)</t>
  </si>
  <si>
    <t>ПРАВООХРАНИТЕЛЬНЫЕ ОРГАНЫ</t>
  </si>
  <si>
    <t>Чернявский А.Г., Воронцова С.В., Зотов А.Т.</t>
  </si>
  <si>
    <t>978-5-16-017658-1</t>
  </si>
  <si>
    <t>477750.05.01</t>
  </si>
  <si>
    <t>Правоохранительные органы: Уч.пос. / Р.Г.Миронов-М.:ИД ФОРУМ, НИЦ ИНФРА-М,2019.-256 с..-(СПО)(п)</t>
  </si>
  <si>
    <t>978-5-8199-0762-7</t>
  </si>
  <si>
    <t>Рекомендовано в качестве учебного пособия для студентов средних специальных учебных заведений, обучающихся по направлению и специальности «Юриспруденция»</t>
  </si>
  <si>
    <t>698024.03.01</t>
  </si>
  <si>
    <t>Православное вероучение: духовно-нравств. основы...: Уч.пос. / А.А.Карпиков - М.:НИЦ ИНФРА-М,2026. - 268 с.(П)</t>
  </si>
  <si>
    <t>ПРАВОСЛАВНОЕ ВЕРОУЧЕНИЕ: ДУХОВНО-НРАВСТВЕННЫЕ ОСНОВЫ РОССИЙСКОГО КАЗАЧЕСТВА</t>
  </si>
  <si>
    <t>Карпиков А.А., Кондратьев С.В.</t>
  </si>
  <si>
    <t>978-5-16-015143-4</t>
  </si>
  <si>
    <t>Московский государственный университет технологий и управления им. К.Г. Разумовского</t>
  </si>
  <si>
    <t>401950.12.01</t>
  </si>
  <si>
    <t>Практикум по Microsoft Office 2007 / Л.В.Кравченко - 2 изд. - М.:НИЦ ИНФРА-М,2026 - 168 с.(ПО)(о)</t>
  </si>
  <si>
    <t>ПРАКТИКУМ ПО MICROSOFT OFFICE 2007 (WORD, EXCEL, ACCESS), PHOTOSHOP, ИЗД.2</t>
  </si>
  <si>
    <t>Кравченко Л.В.</t>
  </si>
  <si>
    <t>978-5-16-021324-8</t>
  </si>
  <si>
    <t>15.02.03, 15.02.10, 15.02.17</t>
  </si>
  <si>
    <t>087900.21.01</t>
  </si>
  <si>
    <t>Практикум по инф.: Уч.пос.Комп.гр. и Web-дизайн. /Т.И.Немцова -М.:ИД ФОРУМ, НИЦ ИНФРА-М,2024-288с(СПО)(п)</t>
  </si>
  <si>
    <t>ПРАКТИКУМ ПО ИНФОРМАТИКЕ</t>
  </si>
  <si>
    <t>Немцова Т. И., Назарова Ю. В., Гагарина Л. Г.</t>
  </si>
  <si>
    <t>978-5-8199-0800-6</t>
  </si>
  <si>
    <t>00.02.03, 09.02.07, 10.02.05, 13.02.07</t>
  </si>
  <si>
    <t>685775.09.01</t>
  </si>
  <si>
    <t>Практикум по овощеводству: Уч.пос. / Н.Н.Чернышева - М.:Форум, НИЦ ИНФРА-М,2026. - 288 с.(СПО)(П)</t>
  </si>
  <si>
    <t>ПРАКТИКУМ ПО ОВОЩЕВОДСТВУ</t>
  </si>
  <si>
    <t>Чернышева Н.Н., Колпаков Н.А.</t>
  </si>
  <si>
    <t>978-5-00091-600-1</t>
  </si>
  <si>
    <t>683092.03.01</t>
  </si>
  <si>
    <t>Практикум по реш.задач на ЭВМ в среде Delphi: Уч.пос. / П.Ю.Бунаков - М.:Форум, НИЦ ИНФРА-М,2025-304с(П)</t>
  </si>
  <si>
    <t>ПРАКТИКУМ ПО РЕШЕНИЮ ЗАДАЧ НА ЭВМ В СРЕДЕ DELPHI</t>
  </si>
  <si>
    <t>Бунаков П.Ю., Лопатин А.К.</t>
  </si>
  <si>
    <t>978-5-00091-554-7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</si>
  <si>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09.02.00 «Информатика и вычислительная техника» (протокол № 5 от 11.03.2019)</t>
  </si>
  <si>
    <t>Государственный социально-гуманитарный университет</t>
  </si>
  <si>
    <t>177950.11.01</t>
  </si>
  <si>
    <t>Практикум по философии: Уч. пос. / И.Ю. Медакова. - М.: Форум:  НИЦ ИНФРА-М, 2024. - 192 с.(ПрофОбр)(П)</t>
  </si>
  <si>
    <t>ПРАКТИКУМ ПО ФИЛОСОФИИ</t>
  </si>
  <si>
    <t>Медакова И. Ю.</t>
  </si>
  <si>
    <t>978-5-91134-586-0</t>
  </si>
  <si>
    <t>ГБОУ школа № 1349</t>
  </si>
  <si>
    <t>720443.03.01</t>
  </si>
  <si>
    <t>Практическая грамматика нем. яз.: Уч.пос. / М.М.Васильева - 15 изд. - М.:НИЦ ИНФРА-М,2023-255 с.(П)</t>
  </si>
  <si>
    <t>ПРАКТИЧЕСКАЯ ГРАММАТИКА НЕМЕЦКОГО ЯЗЫКА, ИЗД.15</t>
  </si>
  <si>
    <t>978-5-16-015704-7</t>
  </si>
  <si>
    <t>00.01.02, 00.02.02, 23.01.08</t>
  </si>
  <si>
    <t>1520</t>
  </si>
  <si>
    <t>796844.03.01</t>
  </si>
  <si>
    <t>Практические основы бух. учета активов орг. в 1С: Предпр.: Уч.пос./ Л.В.Пермитина - М.:НИЦ ИНФРА-М,2023 - 155 с.(п)</t>
  </si>
  <si>
    <t>ПРАКТИЧЕСКИЕ ОСНОВЫ БУХГАЛТЕРСКОГО УЧЕТА АКТИВОВ ОРГАНИЗАЦИИ В 1С: ПРЕДПРИЯТИЕ</t>
  </si>
  <si>
    <t>978-5-16-018580-4</t>
  </si>
  <si>
    <t>38.01.02, 38.02.01, 38.02.07, 40.02.04, 43.01.09, 51.02.02</t>
  </si>
  <si>
    <t>719475.03.01</t>
  </si>
  <si>
    <t>Практические основы бух. учета активов организации: уч.пос. / Н.А.Качан, - 2 изд., стер. - М.:НИЦ ИНФРА-М,2026. - 541 с.-(СПО)(п)</t>
  </si>
  <si>
    <t>ПРАКТИЧЕСКИЕ ОСНОВЫ БУХГАЛТЕРСКОГО УЧЕТА АКТИВОВ ОРГАНИЗАЦИИ, ИЗД.2</t>
  </si>
  <si>
    <t>Качан Н.А., Тресницкий А.Б.</t>
  </si>
  <si>
    <t>978-5-16-015742-9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</si>
  <si>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 (протокол № 8 от 22.06.2020)</t>
  </si>
  <si>
    <t>685001.05.01</t>
  </si>
  <si>
    <t>Практические основы бух. учета активов орг-ции: Уч. / Л.М.Белова - М.:НИЦ ИНФРА-М,2025. - 352 с.(СПО)(П)</t>
  </si>
  <si>
    <t>ПРАКТИЧЕСКИЕ ОСНОВЫ БУХГАЛТЕРСКОГО УЧЕТА АКТИВОВ ОРГАНИЗАЦИИ</t>
  </si>
  <si>
    <t>Белова Л.М., Кондрашова О.Р., Никандрова Р.С.</t>
  </si>
  <si>
    <t>978-5-16-014794-9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</si>
  <si>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 (протокол № 5 от 16.03.2020)</t>
  </si>
  <si>
    <t>Российский университет кооперации, Чебоксарский ф-л</t>
  </si>
  <si>
    <t>703553.04.01</t>
  </si>
  <si>
    <t>Практические основы бух. учета имущества организации: Уч. / М.Д.Акатьева-М.:НИЦ ИНФРА-М,2022.-319 с.(СПО)(П)</t>
  </si>
  <si>
    <t>ПРАКТИЧЕСКИЕ ОСНОВЫ БУХГАЛТЕРСКОГО УЧЕТА ИМУЩЕСТВА ОРГАНИЗАЦИИ</t>
  </si>
  <si>
    <t>978-5-16-014951-6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</si>
  <si>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 профессионального образования по специальности  38.02.01 «Экономика и бухгалтерский учет» (по отраслям) (протокол № 8 от 29.04.2019)</t>
  </si>
  <si>
    <t>706589.08.01</t>
  </si>
  <si>
    <t>Практические основы бух. учета источ. формир. имущ.орг.:Уч. / М.Д.Акатьева - М.:НИЦ ИНФРА-М,2026 - 241 с.(П)</t>
  </si>
  <si>
    <t>ПРАКТИЧЕСКИЕ ОСНОВЫ БУХГАЛТЕРСКОГО УЧЕТА ИСТОЧНИКОВ ФОРМИРОВАНИЯ ИМУЩЕСТВА ОРГАНИЗАЦИИ</t>
  </si>
  <si>
    <t>Акатьева М.Д., Никандрова Л.К.</t>
  </si>
  <si>
    <t>978-5-16-015325-4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</si>
  <si>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 (протокол № 12 от 24.06.2019)</t>
  </si>
  <si>
    <t>109750.15.01</t>
  </si>
  <si>
    <t>Предпринимательство в сфере сервиса: Уч.пос. / О.Н.Гукова - М., НИЦ ИНФРА-М,2026 - 176 с.(СПО)(О)</t>
  </si>
  <si>
    <t>ПРЕДПРИНИМАТЕЛЬСТВО В СФЕРЕ СЕРВИСА</t>
  </si>
  <si>
    <t>978-5-16-021417-7</t>
  </si>
  <si>
    <t>08.02.14, 38.01.01, 38.01.02, 43.01.01, 43.01.02, 43.01.03, 43.01.04, 43.01.05, 43.01.06, 43.01.07, 43.01.08, 43.01.09, 43.01.11, 43.02.01, 43.02.02, 43.02.04, 43.02.06, 43.02.07, 43.02.09, 43.02.11, 43.02.15, 43.02.16, 43.02.17</t>
  </si>
  <si>
    <t>734780.04.01</t>
  </si>
  <si>
    <t>Преодоление артикул.-акустич. дисграфии у шк.: Уч.мет.пос. / Елецкая О.В. - М.:Форум, НИЦ ИНФРА-М,2025 - 160 с.(П)</t>
  </si>
  <si>
    <t>ПРЕОДОЛЕНИЕ АРТИКУЛЯТОРНО-АКУСТИЧЕСКОЙ ДИСГРАФИИ У ШКОЛЬНИКОВ</t>
  </si>
  <si>
    <t>Ивановская О.Г., Куликова Н.С., Хвостова О.А. и др.</t>
  </si>
  <si>
    <t>978-5-00091-729-9</t>
  </si>
  <si>
    <t>39.02.01, 44.02.04, 44.02.05, 49.02.02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</si>
  <si>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44.02.04 «Специальное дошкольное образование», 44.02.05 «Коррекционная педагогика в начальном образовании» (протокол № 5 от 16.03.2020)</t>
  </si>
  <si>
    <t>719239.04.01</t>
  </si>
  <si>
    <t>Приемники и потреб. электрич. энергии сис. электроснаб.: Уч.пос. / А.В.Суворин-М.:НИЦ ИНФРА-М,2024.-354с(П)</t>
  </si>
  <si>
    <t>ПРИЕМНИКИ И ПОТРЕБИТЕЛИ ЭЛЕКТРИЧЕСКОЙ ЭНЕРГИИ СИСТЕМ ЭЛЕКТРОСНАБЖЕНИЯ</t>
  </si>
  <si>
    <t>Суворин А.В.</t>
  </si>
  <si>
    <t>978-5-16-015610-1</t>
  </si>
  <si>
    <t>656372.11.01</t>
  </si>
  <si>
    <t>Прикладная электроника: Уч. / А.В.Ситников - М.:КУРС, НИЦ ИНФРА-М,2026 - 272 с.-(СПО)(П)</t>
  </si>
  <si>
    <t>ПРИКЛАДНАЯ ЭЛЕКТРОНИКА</t>
  </si>
  <si>
    <t>Ситников А.В., Ситников И.А.</t>
  </si>
  <si>
    <t>978-5-906923-28-8</t>
  </si>
  <si>
    <t>08.02.01, 09.02.01, 15.01.05, 35.01.27</t>
  </si>
  <si>
    <t>719224.03.01</t>
  </si>
  <si>
    <t>Прикладные информац. технологии: Уч.пос./ Е.Л.Федотова-М.:ИД ФОРУМ, НИЦ ИНФРА-М,2023-335 с.(СПО)(П)</t>
  </si>
  <si>
    <t>ПРИКЛАДНЫЕ ИНФОРМАЦИОННЫЕ ТЕХНОЛОГИИ</t>
  </si>
  <si>
    <t>Федотова Е. Л., Портнов Е. М.</t>
  </si>
  <si>
    <t>978-5-8199-0897-6</t>
  </si>
  <si>
    <t>776424.01.01</t>
  </si>
  <si>
    <t>Применение информ. сис. в экономике: Уч.пос. / А.М.Карминский - 2 изд.-М.:ИД Форум, НИЦ ИНФРА-М,2022-320 с.(П)</t>
  </si>
  <si>
    <t>ПРИМЕНЕНИЕ ИНФОРМАЦИОННЫХ СИСТЕМ В ЭКОНОМИКЕ, ИЗД.2</t>
  </si>
  <si>
    <t>Карминский А.М., Черников Б.В.</t>
  </si>
  <si>
    <t>978-5-8199-0932-4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</si>
  <si>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экономическим специальностям (протокол № 10 от 15.12.2021)</t>
  </si>
  <si>
    <t>683097.06.01</t>
  </si>
  <si>
    <t>Программирование в среде Lazarus: Уч.пос. / С.Р.Гуриков - М.:Форум, НИЦ ИНФРА-М,2025. - 336 с.(СПО)(П)</t>
  </si>
  <si>
    <t>ПРОГРАММИРОВАНИЕ В СРЕДЕ LAZARUS</t>
  </si>
  <si>
    <t>978-5-00091-555-4</t>
  </si>
  <si>
    <t>101650.16.01</t>
  </si>
  <si>
    <t>Программирование на яз.высокого уров.: Уч.пос./Т.И.Немцова -М.:ИД ФОРУМ,НИЦ ИНФРА-М,2023-496c(ПО)(п)</t>
  </si>
  <si>
    <t>ПРОГРАММИРОВАНИЕ НА ЯЗЫКЕ ВЫСОКОГО УРОВНЯ. ПРОГРАММИРОВАНИЕ НА ЯЗЫКЕ OBJECT PASCAL</t>
  </si>
  <si>
    <t>Немцова Т. И., Голова С. Ю., Абрамова И. В., Гагарина Л. Г.</t>
  </si>
  <si>
    <t>978-5-8199-0753-5</t>
  </si>
  <si>
    <t>09.02.03, 09.02.05</t>
  </si>
  <si>
    <t>Допущено Министерством образования РФ в качестве учебного пособия для студентов учреждений среднего профессионального образования, обучающихся по группе специальностей  "Информатика и вычислительная техника"</t>
  </si>
  <si>
    <t>092600.13.01</t>
  </si>
  <si>
    <t>Программирование на языках высокого уровня: Уч.пос. / О.Л.Голицына-М.:Форум,2024.-496 с.(СПО)(п)</t>
  </si>
  <si>
    <t>ПРОГРАММИРОВАНИЕ НА ЯЗЫКАХ ВЫСОКОГО УРОВНЯ</t>
  </si>
  <si>
    <t>Голицына О. Л., Попов И. И.</t>
  </si>
  <si>
    <t>978-5-91134-209-8</t>
  </si>
  <si>
    <t>09.02.01, 09.02.02, 09.02.03, 09.02.04, 09.02.05, 10.02.01, 10.02.02, 10.02.03</t>
  </si>
  <si>
    <t>683098.04.01</t>
  </si>
  <si>
    <t>Программирование на языке Си: Уч.пос. / А.В.Кузин - М.:Форум, НИЦ ИНФРА-М,2025. - 143 с.(СПО)(о)</t>
  </si>
  <si>
    <t>ПРОГРАММИРОВАНИЕ НА ЯЗЫКЕ СИ</t>
  </si>
  <si>
    <t>978-5-00091-556-1</t>
  </si>
  <si>
    <t>09.02.01, 09.02.02, 09.02.03, 09.02.04, 09.02.05, 09.02.06, 09.02.07, 10.02.01, 10.02.02, 10.02.03, 10.02.04, 10.02.05, 11.02.17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</si>
  <si>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09.02.00 «Информатика и вычислительная техника» (протокол № 14 от 30.09.2019)</t>
  </si>
  <si>
    <t>165400.12.01</t>
  </si>
  <si>
    <t>Программирование на языке...: Уч.пос. / Под ред. Гагариной Л.Г.-М.:ИД Форум, НИЦ ИНФРА-М,2024.-512 с.(П)</t>
  </si>
  <si>
    <t>ПРОГРАММИРОВАНИЕ НА ЯЗЫКЕ ВЫСОКОГО УРОВНЯ. ПРОГРАММИРОВАНИЕ НА ЯЗЫКЕ С++</t>
  </si>
  <si>
    <t>Немцова Т.И., Голова С.Ю., Терентьев А.И. и др.</t>
  </si>
  <si>
    <t>978-5-8199-0699-6</t>
  </si>
  <si>
    <t>09.02.03, 09.02.05, 09.02.07</t>
  </si>
  <si>
    <t>Рекомендовано Научно-методическим советом Московского государственного института электронной техники (технического университета) в качестве учебного пособия для студентов, обучающихся по направлениям подготовки 09.03.01 «Информатика и вычислительная техника», 09.03.03 «Прикладная информатика», 09.03.04 «Программная инженерия»</t>
  </si>
  <si>
    <t>711164.08.01</t>
  </si>
  <si>
    <t>Программируемые контроллеры в сис. промыш. автоматизации: Уч. / О.В.Шишов - М.:НИЦ ИНФРА-М,2025 - 365 с.(СПО)(П)</t>
  </si>
  <si>
    <t>ПРОГРАММИРУЕМЫЕ КОНТРОЛЛЕРЫ В СИСТЕМАХ ПРОМЫШЛЕННОЙ АВТОМАТИЗАЦИИ</t>
  </si>
  <si>
    <t>Шишов О.В.</t>
  </si>
  <si>
    <t>978-5-16-015321-6</t>
  </si>
  <si>
    <t>09.02.01, 09.02.08, 11.02.03, 11.02.06, 11.02.14, 11.02.15, 11.02.16, 11.02.17, 15.02.18, 55.02.01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</si>
  <si>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 специальностей 11.02.00 «Электроника, радиотехника и системы связи» (протокол № 13 от 16.09.2019)</t>
  </si>
  <si>
    <t>Национальный исследовательский Мордовский государственный университет им. Н.П. Огарева</t>
  </si>
  <si>
    <t>683100.07.01</t>
  </si>
  <si>
    <t>Программно-аппарат.защита инфор.: Уч.пос. / П.Б.Хорев, - 2 изд., - М.:Форум, НИЦ ИНФРА-М,2026 - 352 с.(СПО)(п)</t>
  </si>
  <si>
    <t>ПРОГРАММНО-АППАРАТНАЯ ЗАЩИТА ИНФОРМАЦИИ, ИЗД.2</t>
  </si>
  <si>
    <t>978-5-00091-557-8</t>
  </si>
  <si>
    <t>09.01.05, 09.02.01, 09.02.02, 09.02.03, 09.02.04, 09.02.05, 09.02.06, 09.02.07, 10.02.01, 10.02.02, 10.02.03, 10.02.04, 10.02.05, 11.02.15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</si>
  <si>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10.02.01 «Организация и технология защиты информации», 10.02.02 «Информационная безопасность телекоммуникационных систем», 10.02.03 «Информационная безопасность автоматизированных систем»</t>
  </si>
  <si>
    <t>694507.05.01</t>
  </si>
  <si>
    <t>Программное обесп. комп.сетей и web-серверов: Уч.пос. / Г.А.Лисьев -М.:НИЦ ИНФРА-М,2023-145с(СПО)(П)</t>
  </si>
  <si>
    <t>ПРОГРАММНОЕ ОБЕСПЕЧЕНИЕ КОМПЬЮТЕРНЫХ СЕТЕЙ И WEB-СЕРВЕРОВ</t>
  </si>
  <si>
    <t>Лисьев Г.А., Романов П.Ю., Аскерко Ю.И.</t>
  </si>
  <si>
    <t>978-5-16-014514-3</t>
  </si>
  <si>
    <t>09.02.01, 09.02.02, 09.02.03, 09.02.04, 09.02.05, 09.02.06, 09.02.07, 11.02.15, 11.02.16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</si>
  <si>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укрупненным группам специальностей 09.02.00 «Информатика и вычислительная техника» и 44.02.00 «Образование и педагогические науки»</t>
  </si>
  <si>
    <t>156650.19.01</t>
  </si>
  <si>
    <t>Программное обеспеч. компьютерных сетей: Уч.пос. / О.В.Исаченко - 2 изд. - М.:НИЦ ИНФРА-М,2024-158с.(О)</t>
  </si>
  <si>
    <t>ПРОГРАММНОЕ ОБЕСПЕЧЕНИЕ КОМПЬЮТЕРНЫХ СЕТЕЙ, ИЗД.2</t>
  </si>
  <si>
    <t>978-5-16-015447-3</t>
  </si>
  <si>
    <t>09.02.01, 09.02.02, 09.02.03, 09.02.04, 09.02.05, 09.02.06, 09.02.07, 10.02.03, 11.02.15, 11.02.16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</si>
  <si>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09.02.01 «Компьютерные системы и комплексы», 09.02.02 «Компьютерные сети», 09.02.03 «Программирование в компьютерных системах» (протокол № 16 от 28.10.2019)</t>
  </si>
  <si>
    <t>156650.11.01</t>
  </si>
  <si>
    <t>Программное обеспечение компьютерных сетей: Уч.пос. / О.В.Исаченко-М.:НИЦ ИНФРА-М,2019.-117с(СПО)(о)</t>
  </si>
  <si>
    <t>ПРОГРАММНОЕ ОБЕСПЕЧЕНИЕ КОМПЬЮТЕРНЫХ СЕТЕЙ</t>
  </si>
  <si>
    <t>978-5-16-004858-1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</si>
  <si>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специальностям 09.02.01 «Компьютерные системы и комплексы», 09.02.02 «Компьютерные сети», 09.02.03 «Программирование в компьютерных системах»</t>
  </si>
  <si>
    <t>069600.13.01</t>
  </si>
  <si>
    <t>Программное обеспечение: Уч. пос. / О.Л.Голицына - 4 изд. - М.: Форум: НИЦ Инфра-М, 2025 - 448 с.(ПО) (п)</t>
  </si>
  <si>
    <t>ПРОГРАММНОЕ ОБЕСПЕЧЕНИЕ, ИЗД.4</t>
  </si>
  <si>
    <t>Голицына О. Л., Партыка Т. Л., Попов И. И.</t>
  </si>
  <si>
    <t>978-5-91134-711-6</t>
  </si>
  <si>
    <t>08.02.03, 09.02.01, 09.02.02, 09.02.03, 09.02.04, 09.02.05, 09.02.06, 09.02.07, 11.02.15, 11.02.16, 18.02.07, 18.02.12, 35.02.12, 55.02.01</t>
  </si>
  <si>
    <t>Рекомендовано Министерством образования РФ в качестве учебного пособия для студентов учреждений среднего профессионального образования, обучающихся по группе  специальностей  "Информатика и вычислительная техника"</t>
  </si>
  <si>
    <t>0413</t>
  </si>
  <si>
    <t>720385.05.01</t>
  </si>
  <si>
    <t>Проектирование и архитектура програм. сис.: Уч.пос. / Л.Г.Гагарина - 2 изд. - М.:НИЦ ИНФРА-М,2025. - 334 с.(п)</t>
  </si>
  <si>
    <t>ПРОЕКТИРОВАНИЕ И АРХИТЕКТУРА ПРОГРАММНЫХ СИСТЕМ, ИЗД.2</t>
  </si>
  <si>
    <t>978-5-16-020565-6</t>
  </si>
  <si>
    <t>684896.06.01</t>
  </si>
  <si>
    <t>Проектирование и реализ.баз данных в СУБД MySQL. / С.А.Мартишин-М.:ИД ФОРУМ,НИЦ ИНФРА-М,2023-160(СПО)</t>
  </si>
  <si>
    <t>ПРОЕКТИРОВАНИЕ И РЕАЛИЗАЦИЯ БАЗ ДАННЫХ В СУБД MYSQL С ИСПОЛЬЗОВАНИЕМ MYSQL WORKBENCH</t>
  </si>
  <si>
    <t>978-5-8199-0811-2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</si>
  <si>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09.02.01 «Компьютерные системы и комплексы», 09.02.02 «Компьютерные сети», 09.02.03 «Программирование в компьютерных системах», 09.02.04 «Информационные системы (по отраслям)», 09.02.05 «Прикладная информатика (по отраслям)», 09.02.06 «Сетевое и системное администрирование», 09.02.07 «Информационные системы и программирование»</t>
  </si>
  <si>
    <t>684897.01.01</t>
  </si>
  <si>
    <t>Проектирование изделий легкой промышленности в САПР (САПР одежды):Уч.пос. / Г.И.Сурикова и др.-М.:ИД ФОРУМ, НИЦ ИНФРА-М,2018.-336 с..-(Среднее</t>
  </si>
  <si>
    <t>ПРОЕКТИРОВАНИЕ ИЗДЕЛИЙ ЛЕГКОЙ ПРОМЫШЛЕННОСТИ В САПР (САПР ОДЕЖДЫ)</t>
  </si>
  <si>
    <t>Сурикова Г. И., Сурикова О. В., Кузьмичев В. Е., Гниденко А. В.</t>
  </si>
  <si>
    <t>978-5-8199-0813-6</t>
  </si>
  <si>
    <t>Рекомендовано Учебно-методическим объединением по образованию в области технологии, конструирования изделий легкой промышленности в качестве учебного пособия по дисциплинам «САПР одежды», «Конструирование одежды», «Конструкторско-технологическая подг</t>
  </si>
  <si>
    <t>687944.06.01</t>
  </si>
  <si>
    <t>Проектирование конструкций швейных изделий...: Уч.пос. / Н.И.Смирнова - М.:НИЦ ИНФРА-М,2025 - 430 с.(СПО)</t>
  </si>
  <si>
    <t>ПРОЕКТИРОВАНИЕ КОНСТРУКЦИЙ ШВЕЙНЫХ ИЗДЕЛИЙ ДЛЯ ИНДИВИДУАЛЬНОГО ПОТРЕБИТЕЛЯ</t>
  </si>
  <si>
    <t>Смирнова Н.И., Конопальцева Н.М.</t>
  </si>
  <si>
    <t>978-5-16-014906-6</t>
  </si>
  <si>
    <t>27.02.04, 29.01.04, 29.01.33, 29.02.05, 29.02.10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</si>
  <si>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29.02.04 «Конструирование, моделирование и технология швейных изделий», 29.02.05 «Технология текстильных изделий (по видам)»</t>
  </si>
  <si>
    <t>689702.05.01</t>
  </si>
  <si>
    <t>Проектирование машиностроит. цехов и участков: Уч.пос. / А.Ф.Бойко - М.:НИЦ ИНФРА-М,2025 - 264 с.(СПО)(П)</t>
  </si>
  <si>
    <t>ПРОЕКТИРОВАНИЕ МАШИНОСТРОИТЕЛЬНЫХ ЦЕХОВ И УЧАСТКОВ</t>
  </si>
  <si>
    <t>Бойко А.Ф., Погонин А.А., Афанасьев А.А. и др.</t>
  </si>
  <si>
    <t>978-5-16-014324-8</t>
  </si>
  <si>
    <t>15.01.26, 15.01.27, 15.01.35, 15.01.36, 15.01.38, 15.02.06, 15.02.07, 15.02.16, 15.02.18, 23.02.05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</si>
  <si>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15.02.01 «Монтаж и техническая эксплуатация промышленного оборудования (по отраслям)», 15.02.07 «Автоматизация технологических процессов и производств (по отраслям), 15.02.08 «Технология машиностроения»</t>
  </si>
  <si>
    <t>632116.08.01</t>
  </si>
  <si>
    <t>Проектирование цифровых устройств: Уч. / А.В.Кистрин. - М.:КУРС, НИЦ ИНФРА-М,2025 - 352 с.(СПО)(П)</t>
  </si>
  <si>
    <t>ПРОЕКТИРОВАНИЕ ЦИФРОВЫХ УСТРОЙСТВ</t>
  </si>
  <si>
    <t>Кистрин А.В., Костров Б.В., Никифоров М.Б. и др.</t>
  </si>
  <si>
    <t>978-5-906818-59-1</t>
  </si>
  <si>
    <t>09.02.01, 11.02.16, 12.02.01</t>
  </si>
  <si>
    <t>683101.11.01</t>
  </si>
  <si>
    <t>Проектирование швейных изд. в САПР: Уч. / Л.П.Шершнева - М.:НИЦ ИНФРА-М,2026 - 286 с.(СПО)(П)</t>
  </si>
  <si>
    <t>ПРОЕКТИРОВАНИЕ ШВЕЙНЫХ ИЗДЕЛИЙ В САПР</t>
  </si>
  <si>
    <t>Шершнева Л.П., Сунаева С.Г.</t>
  </si>
  <si>
    <t>978-5-16-021305-7</t>
  </si>
  <si>
    <t>29.01.04, 29.01.33, 29.02.10, 54.01.05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</si>
  <si>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29.02.04 «Конструирование, моделирование и технология швейных изделий», 29.02.05 «Технология текстильных изделий (по видам)»</t>
  </si>
  <si>
    <t>766462.05.01</t>
  </si>
  <si>
    <t>Проектирование швейных предприятий...: Уч.пос. / Т.Ю.Воронкова - М.:ИД Форум, НИЦ ИНФРА-М,2026 - 128 с.(О)</t>
  </si>
  <si>
    <t>ПРОЕКТИРОВАНИЕ ШВЕЙНЫХ ПРЕДПРИЯТИЙ. ТЕХНОЛОГИЧЕСКИЕ ПРОЦЕССЫ ПОШИВА ОДЕЖДЫ НА ПРЕДПРИЯТИЯХ СЕРВИСА</t>
  </si>
  <si>
    <t>Воронкова Т.Ю.</t>
  </si>
  <si>
    <t>978-5-8199-0924-9</t>
  </si>
  <si>
    <t>29.01.04, 29.01.31, 29.01.33, 29.02.05, 29.02.10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</si>
  <si>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29.02.04 «Конструирование, моделирование и технология швейных изделий», 29.02.05 «Технология текстильных изделий (по видам)» (протокол № 5 от 19.05.2021)</t>
  </si>
  <si>
    <t>095450.20.01</t>
  </si>
  <si>
    <t>Проектно-сметное дело: Уч.пос. / Д.А.Гаврилов - М.:НИЦ ИНФРА-М,2024 - 352 с.-(СПО)(П)</t>
  </si>
  <si>
    <t>ПРОЕКТНО-СМЕТНОЕ ДЕЛО</t>
  </si>
  <si>
    <t>Гаврилов Д.А.</t>
  </si>
  <si>
    <t>978-5-16-015426-8</t>
  </si>
  <si>
    <t>08.01.30, 08.02.01, 08.02.02, 08.02.13</t>
  </si>
  <si>
    <t>Допущено Минобрнауки России в качестве учебного пособия для студентов образовательных учреждений среднего профессионального образования, обучающихся по специальности «Строительство и эксплуатация зданий и сооружений»</t>
  </si>
  <si>
    <t>095450.23.01</t>
  </si>
  <si>
    <t>Проектно-сметное дело: Уч.пос. / Д.А.Гаврилов, - 2 изд. - М.:НИЦ ИНФРА-М,2026. - 323 с.(СПО)(п)</t>
  </si>
  <si>
    <t>ПРОЕКТНО-СМЕТНОЕ ДЕЛО, ИЗД.2</t>
  </si>
  <si>
    <t>978-5-16-019303-8</t>
  </si>
  <si>
    <t>460700.13.01</t>
  </si>
  <si>
    <t>Производство деталей летател. аппаратов: Уч. / В.В.Овчинников - М.:ИД ФОРУМ, НИЦ ИНФРА-М,2026 - 367 с.(П)</t>
  </si>
  <si>
    <t>ПРОИЗВОДСТВО ДЕТАЛЕЙ ЛЕТАТЕЛЬНЫХ АППАРАТОВ</t>
  </si>
  <si>
    <t>Овчинников В.В.</t>
  </si>
  <si>
    <t>978-5-8199-0817-4</t>
  </si>
  <si>
    <t>12.02.01, 25.02.01, 25.02.03, 25.02.06, 25.02.07</t>
  </si>
  <si>
    <t>634154.12.01</t>
  </si>
  <si>
    <t>Производство сварных конструкций: Уч.пос. / В.В.Овчинников - М.:ИД ФОРУМ, НИЦ ИНФРА-М,2025 - 216 с.(СПО)</t>
  </si>
  <si>
    <t>ПРОИЗВОДСТВО СВАРНЫХ КОНСТРУКЦИЙ. СВАРНЫЕ СОЕДИНЕНИЯ С ПОЛИМЕРНЫМИ ПРОСЛОЙКАМИ И ПОКРЫТИЯМИ</t>
  </si>
  <si>
    <t>Овчинников В.В., Рязанцев В.И., Гуреева М.А.</t>
  </si>
  <si>
    <t>978-5-8199-0732-0</t>
  </si>
  <si>
    <t>15.01.36, 15.02.16, 15.02.19, 18.02.07, 18.02.13, 24.02.01, 26.01.01, 26.02.02</t>
  </si>
  <si>
    <t>Рекомендовано федеральным государственным учреждением «Федеральный институт развития образования» в качестве учебного пособия для использования в учебном процессе образовательных учреждений, реализующих программы среднего профессионального образования</t>
  </si>
  <si>
    <t>708904.06.01</t>
  </si>
  <si>
    <t>Производство ювелир. изд. из драг. металлов..: Уч. / С.Б.Сидельников - 2 изд. - М.:НИЦ ИНФРА-М,2026. - 375 с.(П)</t>
  </si>
  <si>
    <t>ПРОИЗВОДСТВО ЮВЕЛИРНЫХ ИЗДЕЛИЙ ИЗ ДРАГОЦЕННЫХ МЕТАЛЛОВ И ИХ СПЛАВОВ, ИЗД.2</t>
  </si>
  <si>
    <t>Сидельников С.Б., Константинов И.Л., Довженко Н.Н. и др.</t>
  </si>
  <si>
    <t>978-5-16-015274-5</t>
  </si>
  <si>
    <t>22.01.06, 22.02.08, 54.01.02, 54.01.06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</si>
  <si>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 22.02.02 «Металлургия цветных металлов», 22.02.03 «Литейное производство черных и цветных металлов», 22.02.04 «Металловедение и термическая обработка металлов», 22.02.05 «Обработка металлов давлением» (протокол № 8 от 22.06.2020)</t>
  </si>
  <si>
    <t>709017.04.01</t>
  </si>
  <si>
    <t>Прокатно-прессово-волочильное произв.: Уч. / И.Л.Константинов-2 изд.-М.:НИЦ ИНФРА-М,2024-511с.(СПО)(П)</t>
  </si>
  <si>
    <t>ПРОКАТНО-ПРЕССОВО-ВОЛОЧИЛЬНОЕ ПРОИЗВОДСТВО, ИЗД.2</t>
  </si>
  <si>
    <t>Константинов И.Л., Сидельников С.Б., Иванов Е.В.</t>
  </si>
  <si>
    <t>978-5-16-017921-6</t>
  </si>
  <si>
    <t>22.02.08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</si>
  <si>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 профессионального образования по укрупненной группе  специальностей 22.02.00 «Технологии  материалов»  (протокол № 8 от 29.04.2019)</t>
  </si>
  <si>
    <t>104440.12.01</t>
  </si>
  <si>
    <t>Промышленная логистика: Уч.пос. / А.М. Афонин - М.: Форум,2024 - 304 с.(ПО)(П)</t>
  </si>
  <si>
    <t>ПРОМЫШЛЕННАЯ ЛОГИСТИКА</t>
  </si>
  <si>
    <t>Афонин А. М., Царегородцев Ю. Н., Петрова А. М.</t>
  </si>
  <si>
    <t>978-5-91134-283-8</t>
  </si>
  <si>
    <t>719236.03.01</t>
  </si>
  <si>
    <t>Промышленная экология. Практикум: Уч.пос. / С.С.Тимофеева - М.:Форум, НИЦ ИНФРА-М,2024.-128 с.(СПО)(О)</t>
  </si>
  <si>
    <t>ПРОМЫШЛЕННАЯ ЭКОЛОГИЯ. ПРАКТИКУМ</t>
  </si>
  <si>
    <t>Тимофеева С.С., Тюкалова О.В.</t>
  </si>
  <si>
    <t>978-5-00091-719-0</t>
  </si>
  <si>
    <t>15.01.29, 15.02.16, 18.02.02, 18.02.14, 18.02.15, 20.02.01, 23.02.04, 23.02.08, 27.02.03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</si>
  <si>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20.02.01 «Рациональное использование природохозяйственных комплексов», 20.02.03 «Природоохранное обустройство территорий» (протокол № 13 от 16.09.2019)</t>
  </si>
  <si>
    <t>710012.05.01</t>
  </si>
  <si>
    <t>Промышленная экология: Уч. / Ф.Ф.Брюхань и др. - М.:Форум, НИЦ ИНФРА-М,2022 - 208 с.-(СПО)(П)</t>
  </si>
  <si>
    <t>ПРОМЫШЛЕННАЯ ЭКОЛОГИЯ</t>
  </si>
  <si>
    <t>Брюхань Ф.Ф., Графкина М.В., Сдобнякова Е.Е.</t>
  </si>
  <si>
    <t>978-5-00091-698-8</t>
  </si>
  <si>
    <t>05.02.02, 15.01.29, 20.02.01, 20.02.02, 23.02.08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</si>
  <si>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05.02.00 «Науки о Земле», 08.02.00 «Техника и технологии строительства», 20.02.00 «Техносферная безопасность и природообустройство» (протокол № 10 от 27.05.2019)</t>
  </si>
  <si>
    <t>741393.03.01</t>
  </si>
  <si>
    <t>Промышленная экология: Уч.пос. / Л.Л.Никифоров - 2 изд. - М.:НИЦ ИНФРА-М,2024 - 322 с.-(СПО)(П)</t>
  </si>
  <si>
    <t>ПРОМЫШЛЕННАЯ ЭКОЛОГИЯ, ИЗД.2</t>
  </si>
  <si>
    <t>Никифоров Л.Л.</t>
  </si>
  <si>
    <t>978-5-16-016376-5</t>
  </si>
  <si>
    <t>15.01.29, 20.02.01, 23.02.08, 27.02.03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</si>
  <si>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19.02.00 «Промышленная экология и биотехнологии» (протокол № 6 от 06.04.2020)</t>
  </si>
  <si>
    <t>741393.04.01</t>
  </si>
  <si>
    <t>Промышленная экология: Уч.пос. / Л.Л.Никифоров, - 3 изд. - М.:НИЦ ИНФРА-М,2025. - 383 с.(СПО)(п)</t>
  </si>
  <si>
    <t>ПРОМЫШЛЕННАЯ ЭКОЛОГИЯ, ИЗД.3</t>
  </si>
  <si>
    <t>978-5-16-020145-0</t>
  </si>
  <si>
    <t>709946.02.01</t>
  </si>
  <si>
    <t>Промышленная экология: Уч.пос. / Под ред. Ясовеева М.Г.-М.:НИЦ ИНФРА-М, ,2023.-292 с..-(СПО)(П)</t>
  </si>
  <si>
    <t>Ясовеев М.Г., Какарека Э.В., Шевцова Н.С. и др.</t>
  </si>
  <si>
    <t>978-5-16-015301-8</t>
  </si>
  <si>
    <t>05.01.01, 05.02.01, 05.02.02, 05.02.03, 15.01.29, 20.01.01, 20.02.01, 20.02.02, 27.02.03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</si>
  <si>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05.02.00 «Науки о Земле», 20.02.00 «Техносферная безопасность и природообустройство» (протокол № 5 от 11.03.2019)</t>
  </si>
  <si>
    <t>776750.04.01</t>
  </si>
  <si>
    <t>Промышленное производ. крахмала и крахмалопрод.: Уч.пос. /А.А.Славянский - М.:НИЦ ИНФРА-М,2026 - 271 с.(СПО)(П)</t>
  </si>
  <si>
    <t>ПРОМЫШЛЕННОЕ ПРОИЗВОДСТВО КРАХМАЛА И КРАХМАЛОПРОДУКТОВ</t>
  </si>
  <si>
    <t>Славянский А.А., Лукин Н.Д., Лебедева Н.Н.</t>
  </si>
  <si>
    <t>978-5-16-017633-8</t>
  </si>
  <si>
    <t>19.01.18, 19.02.11, 19.02.12, 22.02.08, 35.02.18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</si>
  <si>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19.02.04 «Технология сахаристых продуктов» (протокол № 1 от 12.01.2022)</t>
  </si>
  <si>
    <t>839215.02.01</t>
  </si>
  <si>
    <t>Пропедевтика (основы композиции): Уч. / Л.М.Тухбатуллина. - М.:НИЦ ИНФРА-М,2026. - 116 с.(СПО)(о)</t>
  </si>
  <si>
    <t>ПРОПЕДЕВТИКА (ОСНОВЫ КОМПОЗИЦИИ)</t>
  </si>
  <si>
    <t>Тухбатуллина Л.М., Сафина Л.А., Хамматова В.В.</t>
  </si>
  <si>
    <t>978-5-16-020242-6</t>
  </si>
  <si>
    <t>29.01.09, 42.02.01, 54.01.02, 54.01.05, 54.01.13</t>
  </si>
  <si>
    <t>698270.07.01</t>
  </si>
  <si>
    <t>Профессиональная речь: культ., публичная, деловая: Уч. / А.К.Михальская - М.:НИЦ ИНФРА-М,2026 - 359 с.(п)</t>
  </si>
  <si>
    <t>ПРОФЕССИОНАЛЬНАЯ РЕЧЬ: КУЛЬТУРНАЯ, ПУБЛИЧНАЯ, ДЕЛОВАЯ</t>
  </si>
  <si>
    <t>Михальская А.К.</t>
  </si>
  <si>
    <t>978-5-16-014642-3</t>
  </si>
  <si>
    <t>00.02.34, 29.01.04, 32.02.01, 34.01.01, 35.01.23, 35.01.24, 38.01.01, 38.01.02, 54.01.02, 54.01.12, 54.01.14, 54.01.16, 54.01.17, 54.01.19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</si>
  <si>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укрупненным группам специальностей 38.02.00 «Экономика и управление», 40.02.00 «Юриспруденция», 42.02.00 «Средства массовой информации», 43.02.00 «Сервис и туризм», 44.02.00 «Образование и педагогические науки»</t>
  </si>
  <si>
    <t>Школа профессора Михальской</t>
  </si>
  <si>
    <t>095940.19.01</t>
  </si>
  <si>
    <t>Профессиональная этика и психология дел. общ.: Уч. пос. / И.П.Кошевая - М.:ФОРУМ: ИНФРА-М, 2026 - 304 с.(п)</t>
  </si>
  <si>
    <t>ПРОФЕССИОНАЛЬНАЯ ЭТИКА И ПСИХОЛОГИЯ ДЕЛОВОГО ОБЩЕНИЯ</t>
  </si>
  <si>
    <t>978-5-8199-0739-9</t>
  </si>
  <si>
    <t>00.02.15, 08.02.14, 09.02.06, 13.02.05, 23.02.01, 26.02.04, 38.02.02, 38.02.08, 39.02.01, 39.02.03, 40.02.02, 43.02.02, 43.02.06, 43.02.09, 43.02.11, 43.02.16, 44.02.01, 44.02.02, 44.02.03, 44.02.04, 46.02.01, 51.02.03</t>
  </si>
  <si>
    <t>249800.08.01</t>
  </si>
  <si>
    <t>Профессиональное общение: Уч.пос. / О.Н. Гарькуша. - М.: ИЦ РИОР: НИЦ ИНФРА-М, 2025 - 111 с.(ПО)(п)</t>
  </si>
  <si>
    <t>ПРОФЕССИОНАЛЬНОЕ ОБЩЕНИЕ</t>
  </si>
  <si>
    <t>Гарькуша О.Н.</t>
  </si>
  <si>
    <t>978-5-369-01311-3</t>
  </si>
  <si>
    <t>13.02.05, 13.02.13, 15.02.07, 15.02.17, 15.02.18, 19.02.10, 19.02.11, 19.02.12, 23.02.07</t>
  </si>
  <si>
    <t>798335.02.01</t>
  </si>
  <si>
    <t>Профилактика правонаруш. несовершеннолет.: Уч.пос. / А.А.Беженцев - М.:Вуз.уч.,НИЦ ИНФРА-М,2024-272с(п)</t>
  </si>
  <si>
    <t>ПРОФИЛАКТИКА ПРАВОНАРУШЕНИЙ НЕСОВЕРШЕННОЛЕТНИХ</t>
  </si>
  <si>
    <t>Беженцев А. А.</t>
  </si>
  <si>
    <t>978-5-9558-0656-3</t>
  </si>
  <si>
    <t>741929.05.01</t>
  </si>
  <si>
    <t>Профориентация и соц. обучающ. со слож. наруш. развит.: Уч.пос. / Ткачёва В.В. - М.:НИЦ ИНФРА-М,2026. - 198 с.(П)</t>
  </si>
  <si>
    <t>ПРОФОРИЕНТАЦИЯ И СОЦИАЛИЗАЦИЯ ОБУЧАЮЩИХСЯ СО СЛОЖНЫМИ НАРУШЕНИЯМИ РАЗВИТИЯ</t>
  </si>
  <si>
    <t>Ткачёва В.В., Евтушенко И.В., Жигорева М.В. и др.</t>
  </si>
  <si>
    <t>978-5-16-016409-0</t>
  </si>
  <si>
    <t>39.02.01, 44.02.03, 44.02.04, 44.02.05, 44.02.06, 49.02.02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</si>
  <si>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дефектологического профиля (протокол № 5 от 16.03.2020)</t>
  </si>
  <si>
    <t>757840.03.01</t>
  </si>
  <si>
    <t>Процессы и аппараты биотехнологич. очистки сточных вод: Уч.пос. / А.В.Луканин - М.:НИЦ ИНФРА-М,2024-242 с.(П)</t>
  </si>
  <si>
    <t>ПРОЦЕССЫ И АППАРАТЫ БИОТЕХНОЛОГИЧЕСКОЙ ОЧИСТКИ СТОЧНЫХ ВОД</t>
  </si>
  <si>
    <t>978-5-16-016926-2</t>
  </si>
  <si>
    <t>08.02.04, 14.02.01, 15.02.01, 19.01.01, 19.02.15, 20.02.01, 20.02.03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</si>
  <si>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20.02.01 «Рациональное использование природохозяйственных комплексов», 20.02.03 «Природоохранное обустройство территорий» (протокол № 11 от 09.11.2020)</t>
  </si>
  <si>
    <t>709014.03.01</t>
  </si>
  <si>
    <t>Процессы и аппараты текстильных технологий...: Уч.пос. / М.К.Кошелева-М.:НИЦ ИНФРА-М,2023.-321с.(П)</t>
  </si>
  <si>
    <t>ПРОЦЕССЫ И АППАРАТЫ ТЕКСТИЛЬНЫХ ТЕХНОЛОГИЙ В ПРИМЕРАХ, ЛАБОРАТОРНЫХ РАБОТАХ И ТЕСТАХ</t>
  </si>
  <si>
    <t>Кошелева М.К.</t>
  </si>
  <si>
    <t>978-5-16-015277-6</t>
  </si>
  <si>
    <t>18.02.02, 29.02.05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</si>
  <si>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18.02.02 «Химическая технология отделочного производства и обработки изделий», 29.02.05 «Технология текстильных изделий (по видам)» (протокол № 15 от 14.10.2019)</t>
  </si>
  <si>
    <t>767432.02.01</t>
  </si>
  <si>
    <t>Процессы пригот. и подг. к реализ. горячих блюд....: Уч.пос. / Т.И.Медведь - М.:НИЦ ИНФРА-М,2025.-203 с.(СПО)(п)</t>
  </si>
  <si>
    <t>ПРОЦЕССЫ ПРИГОТОВЛЕНИЯ И ПОДГОТОВКИ К РЕАЛИЗАЦИИ ГОРЯЧИХ БЛЮД, КУЛИНАРНЫХ ИЗДЕЛИЙ, ЗАКУСОК СЛОЖНОГО АССОРТИМЕНТА</t>
  </si>
  <si>
    <t>Медведь Т.И.</t>
  </si>
  <si>
    <t>978-5-16-017889-9</t>
  </si>
  <si>
    <t>19.01.18, 19.02.10, 19.02.13, 35.01.23, 35.02.10, 43.01.04, 43.01.09, 43.02.15</t>
  </si>
  <si>
    <t>Севастопольский торгово-экономический техникум</t>
  </si>
  <si>
    <t>364000.07.01</t>
  </si>
  <si>
    <t>Процессы формообразования и инструменты: Уч. / А.А.Черепахин - М.:КУРС, НИЦ ИНФРА-М,2026 - 224 с(СПО)(П)</t>
  </si>
  <si>
    <t>ПРОЦЕССЫ ФОРМООБРАЗОВАНИЯ И ИНСТРУМЕНТЫ</t>
  </si>
  <si>
    <t>Черепахин А.А., Клепиков В.В.</t>
  </si>
  <si>
    <t>978-5-906818-43-0</t>
  </si>
  <si>
    <t>12.02.04, 15.02.01, 15.02.09, 15.02.16, 15.02.17, 15.02.18</t>
  </si>
  <si>
    <t>849851.01.01</t>
  </si>
  <si>
    <t>Психология в деят. сотруд. правоохранит. органов: Уч. / Т.В.Мальцева - М.:ИЦ РИОР, НИЦ ИНФРА-М,2025. - 280 с.(п)</t>
  </si>
  <si>
    <t>ПСИХОЛОГИЯ В ДЕЯТЕЛЬНОСТИ СОТРУДНИКОВ ПРАВООХРАНИТЕЛЬНЫХ ОРГАНОВ</t>
  </si>
  <si>
    <t>Мальцева Т.В.</t>
  </si>
  <si>
    <t>978-5-369-01982-5</t>
  </si>
  <si>
    <t>712986.09.01</t>
  </si>
  <si>
    <t>Психология делового общения: Уч. / Г.В.Бороздина - 3 изд. - М.:НИЦ ИНФРА-М,2026 - 320 с.-(СПО)(П)</t>
  </si>
  <si>
    <t>ПСИХОЛОГИЯ ДЕЛОВОГО ОБЩЕНИЯ, ИЗД.3</t>
  </si>
  <si>
    <t>Бороздина Г.В.</t>
  </si>
  <si>
    <t>978-5-16-015397-1</t>
  </si>
  <si>
    <t>00.01.04, 00.02.15, 05.02.01, 05.02.02, 08.02.14, 20.02.05, 24.02.01, 38.02.02, 38.02.08, 39.02.03, 43.02.02, 43.02.06, 43.02.16, 46.02.01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</si>
  <si>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(протокол № 6 от 25.03.2019)</t>
  </si>
  <si>
    <t>Белорусский государственный экономический университет</t>
  </si>
  <si>
    <t>758048.06.01</t>
  </si>
  <si>
    <t>Психология дошкольника: практикум: Уч.пос. / Г.А.Урунтаева - 4 изд. - М.:НИЦ ИНФРА-М,2025 - 401 с(СПО)(П)</t>
  </si>
  <si>
    <t>ПСИХОЛОГИЯ ДОШКОЛЬНИКА: ПРАКТИКУМ, ИЗД.4</t>
  </si>
  <si>
    <t>978-5-16-016967-5</t>
  </si>
  <si>
    <t>39.02.01, 44.02.01, 44.02.03, 44.02.04, 44.02.05, 49.02.02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</si>
  <si>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44.02.01 «Дошкольное образование» (протокол № 12 от 14.12.2020)</t>
  </si>
  <si>
    <t>071870.22.01</t>
  </si>
  <si>
    <t>Психология общения. Практ.по психолог.: Уч.пос. / Н.С.Ефимова - М.:ИД ФОРУМ,НИЦ ИНФРА-М,2026 - 192 с.(СПО)(П)</t>
  </si>
  <si>
    <t>ПСИХОЛОГИЯ ОБЩЕНИЯ. ПРАКТИКУМ ПО ПСИХОЛОГИИ</t>
  </si>
  <si>
    <t>978-5-8199-0693-4</t>
  </si>
  <si>
    <t>00.01.04, 00.02.15, 09.02.06, 13.02.05, 26.02.04, 27.02.06, 38.02.02, 39.02.01, 43.02.15, 44.02.01, 44.02.02, 44.02.03, 44.02.04, 44.02.05, 44.02.06, 49.02.03</t>
  </si>
  <si>
    <t>Допущено Министерством образования РФ в качестве учебного пособия для студентов  учреждений среднего профессионального образования, обучающихся по группе специальностей "Образование и педагогические науки"</t>
  </si>
  <si>
    <t>719348.03.01</t>
  </si>
  <si>
    <t>Психология. Курс лекций: Уч.пос. / В.Г.Крысько-М.:Вуз. уч., НИЦ ИНФРА-М,2023-251 с.(СПО)(П)</t>
  </si>
  <si>
    <t>ПСИХОЛОГИЯ. КУРС ЛЕКЦИЙ</t>
  </si>
  <si>
    <t>978-5-9558-0638-9</t>
  </si>
  <si>
    <t>00.01.04, 00.02.15</t>
  </si>
  <si>
    <t>729725.07.01</t>
  </si>
  <si>
    <t>Психолого-педагогич. поддержка семьи ребенка с огранич....: Уч. / Е.А.Стребелева - М.:НИЦ ИНФРА-М,2026. - 178 с.(П)</t>
  </si>
  <si>
    <t>ПСИХОЛОГО-ПЕДАГОГИЧЕСКАЯ ПОДДЕРЖКА СЕМЬИ РЕБЕНКА С ОГРАНИЧЕННЫМИ ВОЗМОЖНОСТЯМИ ЗДОРОВЬЯ</t>
  </si>
  <si>
    <t>Стребелева Е.А., Мишина Г.А.</t>
  </si>
  <si>
    <t>978-5-16-015921-8</t>
  </si>
  <si>
    <t>39.02.01, 44.02.01, 44.02.02, 44.02.03, 44.02.04, 44.02.05, 44.02.06, 49.02.01, 49.02.02, 51.02.01, 53.02.01, 54.02.06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</si>
  <si>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 (протокол № 14 от 30.09.2019)</t>
  </si>
  <si>
    <t>243900.07.01</t>
  </si>
  <si>
    <t>Рабочая тетр. по первой, общей части технич. графики: Уч. пос. / Е.А.Василенко - М:ИНФРА-М,2024-112с.(СПО)(О)</t>
  </si>
  <si>
    <t>РАБОЧАЯ ТЕТРАДЬ ПО ПЕРВОЙ, ОБЩЕЙ ЧАСТИ ТЕХНИЧЕСКОЙ ГРАФИКИ</t>
  </si>
  <si>
    <t>Василенко Е. А., Перегуд М. В., Чекмарев А. А.</t>
  </si>
  <si>
    <t>978-5-16-009273-7</t>
  </si>
  <si>
    <t>00.02.31, 26.02.04, 54.02.01</t>
  </si>
  <si>
    <t>Витебский государственный университет им. П.М. Машерова</t>
  </si>
  <si>
    <t>843790.01.01</t>
  </si>
  <si>
    <t>Радионавигационные сис. аэропортов и воздушных трасс: Уч. / О.Н.Скрыпник - М.:НИЦ ИНФРА-М,2025. - 325 с.(СПО)(п)</t>
  </si>
  <si>
    <t>РАДИОНАВИГАЦИОННЫЕ СИСТЕМЫ АЭРОПОРТОВ И ВОЗДУШНЫХ ТРАСС</t>
  </si>
  <si>
    <t>Скрыпник О.Н.</t>
  </si>
  <si>
    <t>978-5-16-020402-4</t>
  </si>
  <si>
    <t>11.02.06, 11.02.07, 11.02.18, 12.02.03, 25.02.03, 25.02.04, 25.02.05</t>
  </si>
  <si>
    <t>Белорусская государственная академия авиации</t>
  </si>
  <si>
    <t>842822.01.01</t>
  </si>
  <si>
    <t>Радиотехника: от истоков до наших дней: Уч.пос. / В.И.Каганов - М.:Форум, НИЦ ИНФРА-М,2025 - 352 с.(СПО)(п)</t>
  </si>
  <si>
    <t>РАДИОТЕХНИКА: ОТ ИСТОКОВ ДО НАШИХ ДНЕЙ</t>
  </si>
  <si>
    <t>Каганов В.И.</t>
  </si>
  <si>
    <t>978-5-00091-813-5</t>
  </si>
  <si>
    <t>11.02.07, 12.02.03, 55.02.01</t>
  </si>
  <si>
    <t>720106.05.01</t>
  </si>
  <si>
    <t>Развитие логического мышления у дошк.: Уч.пос. / А.В.Белошистая, - 2 изд. - М.:НИЦ ИНФРА-М,2025. - 300 с.(П)</t>
  </si>
  <si>
    <t>РАЗВИТИЕ ЛОГИЧЕСКОГО МЫШЛЕНИЯ У ДОШКОЛЬНИКОВ, ИЗД.2</t>
  </si>
  <si>
    <t>978-5-16-015664-4</t>
  </si>
  <si>
    <t>111880.12.01</t>
  </si>
  <si>
    <t>Развитие мыслит. деят.детей дош.возраста: Уч.пос. / Л.Н. Вахрушева - 2 изд. - М.:Форум,ИНФРА-М,2026 - 197 с.(П)</t>
  </si>
  <si>
    <t>РАЗВИТИЕ МЫСЛИТЕЛЬНОЙ ДЕЯТЕЛЬНОСТИ ДЕТЕЙ ДОШКОЛЬНОГО ВОЗРАСТА, ИЗД.2</t>
  </si>
  <si>
    <t>Вахрушева Л.Н.</t>
  </si>
  <si>
    <t>978-5-16-016281-2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</si>
  <si>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педагогическим специальностям (протокол № 10 от 12.10.2020)</t>
  </si>
  <si>
    <t>Вятский государственный университет</t>
  </si>
  <si>
    <t>757648.06.01</t>
  </si>
  <si>
    <t>Развитие осязания и мелкой моторики у детей с наруш. зрения: Уч.мет.пос. / Л.Б.Осипова - М.:НИЦ ИНФРА-М,2024. - 248 с.(П)</t>
  </si>
  <si>
    <t>РАЗВИТИЕ ОСЯЗАНИЯ И МЕЛКОЙ МОТОРИКИ У ДЕТЕЙ С НАРУШЕНИЯМИ ЗРЕНИЯ</t>
  </si>
  <si>
    <t>Осипова Л.Б.</t>
  </si>
  <si>
    <t>978-5-16-016904-0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</si>
  <si>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44.02.04 «Специальное дошкольное образование» (протокол № 10 от 12.10.2020)</t>
  </si>
  <si>
    <t>732707.05.01</t>
  </si>
  <si>
    <t>Развитие предметных представл. у детей дош. возраста: Уч.мет.пос. / Л.Б.Осипова - М.:НИЦ ИНФРА-М,2025 - 158 с.(П)</t>
  </si>
  <si>
    <t>РАЗВИТИЕ ПРЕДМЕТНЫХ ПРЕДСТАВЛЕНИЙ У ДЕТЕЙ ДОШКОЛЬНОГО ВОЗРАСТА С НАРУШЕНИЯМИ ЗРЕНИЯ В ПРОЦЕССЕ ТВОРЧЕСКОГО КОНСТРУИРОВАНИЯ В УСЛОВИЯХ ИНКЛЮЗИВНОГО ОБРАЗОВАНИЯ</t>
  </si>
  <si>
    <t>Осипова Л.Б., Дружинина Л.А., Власова О.И. и др.</t>
  </si>
  <si>
    <t>978-5-16-015916-4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</si>
  <si>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 (протокол № 8 от 28.09.2020)</t>
  </si>
  <si>
    <t>060300.16.01</t>
  </si>
  <si>
    <t>Разработка баз данных в сис. Microsoft Access: Уч. / А.В.Кузин - 4 изд. - М., НИЦ ИНФРА-М,2026 - 224с(П)</t>
  </si>
  <si>
    <t>РАЗРАБОТКА БАЗ ДАННЫХ В СИСТЕМЕ MICROSOFT ACCESS, ИЗД.4</t>
  </si>
  <si>
    <t>Кузин А. В., Демин В. М.</t>
  </si>
  <si>
    <t>978-5-16-021228-9</t>
  </si>
  <si>
    <t>00.02.03, 09.01.03, 09.02.03, 09.02.07</t>
  </si>
  <si>
    <t>Допущено Министерством образования и науки Российской Федерации в качестве учебника для студентов учреждений среднего профессионального образования, обучающихся по специальностям «Автоматизированные системы обработки информации и управления (по отраслям)», «Программное обеспечение вычислительной техники и автоматизированных систем»</t>
  </si>
  <si>
    <t>845218.01.01</t>
  </si>
  <si>
    <t>Разработка бизнес-плана проекта: Уч.пос./ Т.С.Бронникова, - 2 изд. - М.:НИЦ ИНФРА-М,2025. - 215 с.(СПО)(п)</t>
  </si>
  <si>
    <t>РАЗРАБОТКА БИЗНЕС-ПЛАНА ПРОЕКТА, ИЗД.2</t>
  </si>
  <si>
    <t>Бронникова Т.С.</t>
  </si>
  <si>
    <t>978-5-16-020455-0</t>
  </si>
  <si>
    <t>08.02.01, 09.02.04, 09.02.07, 18.02.13, 19.02.13, 24.02.02, 43.02.02, 43.02.16</t>
  </si>
  <si>
    <t>682798.04.01</t>
  </si>
  <si>
    <t>Разработка бизнес-приложений на платформе "1С: Предпр.": Уч.пос. / Э.Г.Дадян-М.:НИЦ ИНФРА-М,2024.-305 с(П)</t>
  </si>
  <si>
    <t>РАЗРАБОТКА БИЗНЕС-ПРИЛОЖЕНИЙ НА ПЛАТФОРМЕ "1С: ПРЕДПРИЯТИЕ"</t>
  </si>
  <si>
    <t>978-5-16-016648-3</t>
  </si>
  <si>
    <t>Рекомендовано Межрегиональным учебно-методическим советом профессионального образования в качестве учебного пособия 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8 от 22.06.2020)</t>
  </si>
  <si>
    <t>082200.17.01</t>
  </si>
  <si>
    <t>Разработка и эксплуат. автомат. информ. систем: Уч.пос./Л.Г.Гагарина,- 2 изд.-М.:НИЦ ИНФРА-М,2025-358 с.(СПО)(п)</t>
  </si>
  <si>
    <t>РАЗРАБОТКА И ЭКСПЛУАТАЦИЯ АВТОМАТИЗИРОВАННЫХ ИНФОРМАЦИОННЫХ СИСТЕМ, ИЗД.2</t>
  </si>
  <si>
    <t>978-5-16-018360-2</t>
  </si>
  <si>
    <t>09.01.03, 09.01.04, 09.02.01, 09.02.02, 09.02.04, 09.02.05, 09.02.06, 09.02.08, 10.02.03, 10.02.05</t>
  </si>
  <si>
    <t>082200.15.01</t>
  </si>
  <si>
    <t>Разработка и эксплуат. автомат.информ.систем: Уч.пос./Л.Г.Гагарина-М.:ИД ФОРУМ,НИЦ ИНФРА-М,2021-384с</t>
  </si>
  <si>
    <t>РАЗРАБОТКА И ЭКСПЛУАТАЦИЯ АВТОМАТИЗИРОВАННЫХ ИНФОРМАЦИОННЫХ СИСТЕМ</t>
  </si>
  <si>
    <t>Гагарина Л.Г.</t>
  </si>
  <si>
    <t>978-5-8199-0735-1</t>
  </si>
  <si>
    <t>Допущено Министерством образования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09.00.00 «Информатика и вычислительная техника»</t>
  </si>
  <si>
    <t>767206.01.01</t>
  </si>
  <si>
    <t>Разработка информац. контента (по отраслям): Уч.пос. / В.Н.Шитов-М.:НИЦ ИНФРА-М,2022.-178 с.(СПО)(П)</t>
  </si>
  <si>
    <t>РАЗРАБОТКА ИНФОРМАЦИОННОГО КОНТЕНТА (ПО ОТРАСЛЯМ)</t>
  </si>
  <si>
    <t>978-5-16-017434-1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</si>
  <si>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09.02.07 «Информационные системы и программирование» (протокол № 2 от 09.02.2022)</t>
  </si>
  <si>
    <t>845299.01.01</t>
  </si>
  <si>
    <t>Разработка месторождений полезных ископаемых: Уч. пос. / В.И.Голик - М.: НИЦ ИНФРА-М, 2025 - 136 с.(СПО)(о)</t>
  </si>
  <si>
    <t>РАЗРАБОТКА МЕСТОРОЖДЕНИЙ ПОЛЕЗНЫХ ИСКОПАЕМЫХ</t>
  </si>
  <si>
    <t>Голик В. И.</t>
  </si>
  <si>
    <t>978-5-16-020460-4</t>
  </si>
  <si>
    <t>21.02.12</t>
  </si>
  <si>
    <t>Северо-Кавказский горно-металлургический институт (государственный технологический университет)</t>
  </si>
  <si>
    <t>362000.16.01</t>
  </si>
  <si>
    <t>Разработка,внедр.и адаптация программного...: Уч.пос. / Г.Н.Федорова - М.:КУРС,НИЦ ИНФРА-М,2026 - 336с.(П)</t>
  </si>
  <si>
    <t>РАЗРАБОТКА, ВНЕДРЕНИЕ И АДАПТАЦИЯ ПРОГРАММНОГО ОБЕСПЕЧЕНИЯ ОТРАСЛЕВОЙ НАПРАВЛЕННОСТИ</t>
  </si>
  <si>
    <t>Федорова Г.Н.</t>
  </si>
  <si>
    <t>978-5-906818-41-6</t>
  </si>
  <si>
    <t>09.02.05, 09.02.07, 09.02.10</t>
  </si>
  <si>
    <t>Рекомендовано Экспертным советом при Государственном бюджетном образовательном учреждении дополнительного профессионального образования (повышения квалификации) специалистов города Москвы учебно-методический центр по профессиональному образованию Департамента образования города Москвы в качестве учебного пособия (09.02.05 Прикладная информатика (по отраслям), ПМ "Разработка, внедрение и адаптация программного обеспечения отраслевой направленности) для профессиональных образовательных организаций</t>
  </si>
  <si>
    <t>Белебеевский Медицинский колледж</t>
  </si>
  <si>
    <t>044540.23.01</t>
  </si>
  <si>
    <t>Расчет и проект.схем электроснаб..: Уч.пос. / В.П.Шеховцов - 3 изд. - М.:НИЦ ИНФРА-М,2025 - 214 с.(СПО)(О)</t>
  </si>
  <si>
    <t>РАСЧЕТ И ПРОЕКТИРОВАНИЕ СХЕМ ЭЛЕКТРОСНАБЖЕНИЯ. МЕТОДИЧЕСКОЕ ПОСОБИЕ ДЛЯ КУРСОВОГО ПРОЕКТИРОВАНИЯ, ИЗД.3</t>
  </si>
  <si>
    <t>Шеховцов В.П.</t>
  </si>
  <si>
    <t>978-5-16-018405-0</t>
  </si>
  <si>
    <t>08.02.09, 13.02.07, 13.02.13, 15.01.26, 15.01.27, 15.01.35, 15.01.36, 15.01.38, 15.02.07, 15.02.16, 15.02.18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</si>
  <si>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специальности 13.02.11 «Техническая эксплуатация и обслуживание электрического и электромеханического оборудования (по отраслям)»</t>
  </si>
  <si>
    <t>120500.11.01</t>
  </si>
  <si>
    <t>Расчет и проектирование ОУ...: Уч.пос. / В.П.Шеховцов - 2 изд. - М.:Форум, НИЦ ИНФРА-М,2025 - 352 с.(СПО)(П)</t>
  </si>
  <si>
    <t>РАСЧЕТ И ПРОЕКТИРОВАНИЕ ОУ И ЭЛЕКТРОУСТАНОВОК ПРОМЫШЛЕННЫХ МЕХАНИЗМОВ, ИЗД.2</t>
  </si>
  <si>
    <t>978-5-00091-652-0</t>
  </si>
  <si>
    <t>08.01.31, 13.02.12, 13.02.13, 15.01.26, 15.01.27, 15.01.35, 15.01.36, 15.01.38, 15.02.07, 15.02.16, 15.02.18, 23.01.03, 23.02.06</t>
  </si>
  <si>
    <t>405050.09.01</t>
  </si>
  <si>
    <t>Расчет источ. втор. питания элект. уст.: Уч.пос. / О.Н.Остапенкова, 2изд.-М.:Форум, НИЦ ИНФРА-М,2024.-95 с(О)</t>
  </si>
  <si>
    <t>РАСЧЕТ ИСТОЧНИКОВ ВТОРИЧНОГО ПИТАНИЯ ЭЛЕКТРОННЫХ УСТРОЙСТВ, ИЗД.2</t>
  </si>
  <si>
    <t>Остапенкова О.Н.</t>
  </si>
  <si>
    <t>978-5-00091-748-0</t>
  </si>
  <si>
    <t>11.02.06, 11.02.14, 11.02.17, 13.02.07, 15.01.26, 15.01.27, 15.01.35, 15.01.36, 15.01.38, 15.02.07, 15.02.16, 15.02.18, 23.01.03, 23.02.06</t>
  </si>
  <si>
    <t>Рекомендовано Учебно-методическим советом Учебно-методического центра по профессиональному образованию Департамента образования г. Москвы в качестве учебного пособия для студентов образовательных учреждений среднего профессионального образования</t>
  </si>
  <si>
    <t>Политехнический колледж им. Н.Н. Годовикова</t>
  </si>
  <si>
    <t>063050.19.01</t>
  </si>
  <si>
    <t>Расчет электр. и магн. цепей...: Уч.пос. / Е.А.Лоторейчук, - 2 изд. - М.:ИД ФОРУМ, НИЦ ИНФРА-М,2026 - 272 с.(СПО)(П)</t>
  </si>
  <si>
    <t>РАСЧЕТ ЭЛЕКТРИЧЕСКИХ И МАГНИТНЫХ ЦЕПЕЙ И ПОЛЕЙ. РЕШЕНИЕ ЗАДАЧ, ИЗД.2</t>
  </si>
  <si>
    <t>Лоторейчук Е.А.</t>
  </si>
  <si>
    <t>978-5-8199-0821-1</t>
  </si>
  <si>
    <t>00.02.39, 08.02.02, 11.02.03, 12.02.04, 13.02.02, 13.02.07, 15.02.18, 23.02.02, 23.02.05, 23.02.07, 35.02.16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</si>
  <si>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«Энергетика», «Электротехника», «Приборостроение», «Электроника и микроэлектроника», «Радиотехника и телекоммуникации», «Автоматизация и управление», «Информатика и вычислительная техника»</t>
  </si>
  <si>
    <t>683104.02.01</t>
  </si>
  <si>
    <t>Рациональное исп. натур. меха на швейных предпр..:Уч.пос. / И.Н.Каграманова-М.:ИД ФОРУМ,2023.-160 с</t>
  </si>
  <si>
    <t>РАЦИОНАЛЬНОЕ ИСПОЛЬЗОВАНИЕ НАТУРАЛЬНОГО МЕХА НА ШВЕЙНЫХ ПРЕДПРИЯТИЯХ. ТЕХНОЛОГИЧЕСКИЕ ПРОЦЕССЫ В СЕРВИСЕ</t>
  </si>
  <si>
    <t>Каграманова И.Н.</t>
  </si>
  <si>
    <t>978-5-8199-0942-3</t>
  </si>
  <si>
    <t>29.00.00, 29.01.31, 54.02.03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</si>
  <si>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29.02.03 «Конструирование, моделирование и технология изделий из меха», 29.02.02 «Технология кожи и меха», 38.02.05 «Товароведение и экспертиза качества потребительских товаров», 54.02.01 «Дизайн (по отраслям)», 54.02.02 «Декоративно-прикладное искусство и народные промыслы (по видам)»</t>
  </si>
  <si>
    <t>708388.03.01</t>
  </si>
  <si>
    <t>Резание металлов и режущие инструменты: Уч.пос. / В.Г.Солоненко-М.:НИЦ ИНФРА-М,2022.-415 с.-(СПО)(П)</t>
  </si>
  <si>
    <t>РЕЗАНИЕ МЕТАЛЛОВ И РЕЖУЩИЕ ИНСТРУМЕНТЫ</t>
  </si>
  <si>
    <t>Солоненко В.Г., Рыжкин А.А.</t>
  </si>
  <si>
    <t>978-5-16-015247-9</t>
  </si>
  <si>
    <t>12.02.04, 15.01.22, 15.01.35, 15.01.37, 15.02.01, 15.02.16, 15.02.17, 15.02.18, 27.02.02, 27.02.07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</si>
  <si>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техническим специальностям (протокол № 5 от 11.03.2019)</t>
  </si>
  <si>
    <t>Дагестанский государственный технический университет</t>
  </si>
  <si>
    <t>842133.01.01</t>
  </si>
  <si>
    <t>Рекламная деятельность: Уч. / Под ред. В.Д. Секерина. - М.: НИЦ ИНФРА-М, 2025 - 282 с.(СПО)(п)</t>
  </si>
  <si>
    <t>РЕКЛАМНАЯ ДЕЯТЕЛЬНОСТЬ</t>
  </si>
  <si>
    <t>Секерин В.Д., Измайлова М.А., Матвеев Э.Ю. и др.</t>
  </si>
  <si>
    <t>978-5-16-020314-0</t>
  </si>
  <si>
    <t>29.02.05, 38.02.08, 42.02.01</t>
  </si>
  <si>
    <t>Всероссийская академия внешней торговли Министерства экономического развития Российской Федерации</t>
  </si>
  <si>
    <t>806129.02.01</t>
  </si>
  <si>
    <t>Рекламная и PR-деят. гостиничного предпр.: Уч.пос. / И.С.Ключевская-М.:НИЦ ИНФРА-М,2024.-359 с.(СПО)(п)</t>
  </si>
  <si>
    <t>РЕКЛАМНАЯ И PR-ДЕЯТЕЛЬНОСТЬ ГОСТИНИЧНОГО ПРЕДПРИЯТИЯ</t>
  </si>
  <si>
    <t>978-5-16-018645-0</t>
  </si>
  <si>
    <t>42.02.01, 43.02.11, 43.02.16</t>
  </si>
  <si>
    <t>707356.05.01</t>
  </si>
  <si>
    <t>Реконструкция зданий, сооружений и городской застройки: Уч.пос. / В.В.Федоров - М.:НИЦ ИНФРА-М,2025-224с(П)</t>
  </si>
  <si>
    <t>РЕКОНСТРУКЦИЯ ЗДАНИЙ, СООРУЖЕНИЙ И ГОРОДСКОЙ ЗАСТРОЙКИ</t>
  </si>
  <si>
    <t>Федоров В.В., Федорова Н.Н., Сухарев Ю.В.</t>
  </si>
  <si>
    <t>978-5-16-015155-7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</si>
  <si>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08.02.00 «Техника и технологии строительства» (протокол № 5 от 11.03.2019)</t>
  </si>
  <si>
    <t>Тверской государственный технический университет</t>
  </si>
  <si>
    <t>047460.23.01</t>
  </si>
  <si>
    <t>Реконструкция и реставрация зданий: Уч. / В.В.Федоров - М.:НИЦ ИНФРА-М,2026. - 208 с.-(СПО)(П)</t>
  </si>
  <si>
    <t>РЕКОНСТРУКЦИЯ И РЕСТАВРАЦИЯ ЗДАНИЙ</t>
  </si>
  <si>
    <t>Федоров В.В.</t>
  </si>
  <si>
    <t>978-5-16-009091-7</t>
  </si>
  <si>
    <t>08.02.01, 08.02.02, 08.02.04, 08.02.08, 08.02.09, 08.02.13, 08.02.14</t>
  </si>
  <si>
    <t>Допущено Государственным комитетом РФ по строительству и жилищно-коммунальному комплексу в качестве учебника для учащихся средних специальных учебных заведений, обучающихся по специальности 08.02.01 «Строительство и эксплуатация зданий и сооружений»</t>
  </si>
  <si>
    <t>085860.15.01</t>
  </si>
  <si>
    <t>Реконструкция трубопровод. инженер. сетей и сооруж.: Уч.пос. / В.И.Краснов-М.:НИЦ ИНФРА-М,2024.-238 с.(П)</t>
  </si>
  <si>
    <t>РЕКОНСТРУКЦИЯ ТРУБОПРОВОДНЫХ ИНЖЕНЕРНЫХ СЕТЕЙ И СООРУЖЕНИЙ</t>
  </si>
  <si>
    <t>978-5-16-009263-8</t>
  </si>
  <si>
    <t>08.01.02, 08.01.29, 08.02.01, 08.02.02, 08.02.04, 08.02.08, 18.01.27, 19.01.01, 21.01.17</t>
  </si>
  <si>
    <t>Допущено Федеральным агентством по строительству и жилищно-коммунальному хозяйству в качестве учебного пособия для студентов средних специальных учебных заведений, обучающихся по специальности 08.02.01 «Строительство и эксплуатация зданий и сооружений»</t>
  </si>
  <si>
    <t>684799.05.01</t>
  </si>
  <si>
    <t>Ремонт автомобилей и двигателей: Уч.пос. / К.А.Давдиев - М.:НИЦ ИНФРА-М,2025. - 358 с.(СПО)(П)</t>
  </si>
  <si>
    <t>РЕМОНТ АВТОМОБИЛЕЙ И ДВИГАТЕЛЕЙ: ВЫПУСКНАЯ КВАЛИФИКАЦИОННАЯ РАБОТА</t>
  </si>
  <si>
    <t>978-5-16-014999-8</t>
  </si>
  <si>
    <t>23.02.02, 23.02.03, 23.02.07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</si>
  <si>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23.02.03 «Техническое обслуживание и ремонт автомобильного транспорта» (протокол № 2 от 09.02.2022)</t>
  </si>
  <si>
    <t>148450.09.01</t>
  </si>
  <si>
    <t>Ремонт автомобилей. Курс. проектир.: Уч.пос. / С.А.Скепьян - ИНФРА-М ,2024-235с(СПО)(п)</t>
  </si>
  <si>
    <t>РЕМОНТ АВТОМОБИЛЕЙ. КУРСОВОЕ ПРОЕКТИРОВАНИЕ</t>
  </si>
  <si>
    <t>Скепьян С. А.</t>
  </si>
  <si>
    <t>978-5-16-004759-1</t>
  </si>
  <si>
    <t>Рекомендовано учреждением образования «Республиканский институт профессионального образования» в качестве пособия для учащихся учреждений, обеспечивающих получение среднего специального образования по специальности «Техническая эксплуатация автомобилей»</t>
  </si>
  <si>
    <t>Республиканский институт профессионального образования, ф-л Минский государственный автомеханический</t>
  </si>
  <si>
    <t>758050.03.01</t>
  </si>
  <si>
    <t>Речевая коммуникация: Уч. / О.Я.Гойхман - 3 изд. - М.:НИЦ ИНФРА-М,2024 - 286 с.(СПО)(П)</t>
  </si>
  <si>
    <t>РЕЧЕВАЯ КОММУНИКАЦИЯ, ИЗД.3</t>
  </si>
  <si>
    <t>Гойхман О.Я., Надеина Т.М.</t>
  </si>
  <si>
    <t>978-5-16-016969-9</t>
  </si>
  <si>
    <t>00.02.15, 00.02.34, 38.02.02, 43.02.17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</si>
  <si>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основную профессиональную программу среднего профессионального образования (протокол № 12 от 14.12.2020)</t>
  </si>
  <si>
    <t>719748.06.01</t>
  </si>
  <si>
    <t>Речевое и предречевое разв. детей раннего возраста: Уч.мет.пос. / Т.А.Титова - М.:НИЦ ИНФРА-М,2025 - 192 с.(СПО)</t>
  </si>
  <si>
    <t>РЕЧЕВОЕ И ПРЕДРЕЧЕВОЕ РАЗВИТИЕ ДЕТЕЙ РАННЕГО ВОЗРАСТА</t>
  </si>
  <si>
    <t>Титова Т.А., Елецкая О.В., Матвеева М.В. и др.</t>
  </si>
  <si>
    <t>978-5-16-015652-1</t>
  </si>
  <si>
    <t>44.02.01, 44.02.02, 44.02.04</t>
  </si>
  <si>
    <t>Рекомендовано Межрегиональным учебно-методическим советом профессионального образования в качестве учебно-методического пособия для учебных заведений, реализующих программу среднего профессионального образования по специальности 44.02.04 «Специальное дошкольное образование» (протокол № 12 от 24.06.2019)</t>
  </si>
  <si>
    <t>074240.22.01</t>
  </si>
  <si>
    <t>Рисунок: Уч.пос. / В.И.Жабинский - М.:НИЦ ИНФРА-М,2025 - 256 с(СПО)(П)</t>
  </si>
  <si>
    <t>РИСУНОК</t>
  </si>
  <si>
    <t>Жабинский В.И., Винтова А.В.</t>
  </si>
  <si>
    <t>978-5-16-002693-0</t>
  </si>
  <si>
    <t>07.02.01, 08.01.28, 29.01.04, 29.01.09, 29.01.33, 43.01.11, 43.02.02, 43.02.04, 53.02.09, 54.01.01, 54.01.05, 54.01.06, 54.01.08, 54.01.12, 54.01.16, 54.01.20, 54.02.01, 54.02.02, 54.02.04, 54.02.05, 54.02.06, 54.02.07, 54.02.08, 55.02.03</t>
  </si>
  <si>
    <t>Допущено Государственным комитетом Российской Федерации по строительству в качестве учебного пособия для студентов средних специальных заведений, обучающихся по специальности 07.02.01 «Архитектура»</t>
  </si>
  <si>
    <t>157500.16.01</t>
  </si>
  <si>
    <t>Русская и зарубежная литература: Уч. / Под ред. Сигова В.К. - М.:НИЦ ИНФРА-М,2026 - 512 с.(СПО)(п)</t>
  </si>
  <si>
    <t>РУССКАЯ И ЗАРУБЕЖНАЯ ЛИТЕРАТУРА</t>
  </si>
  <si>
    <t>Сигов В.К.</t>
  </si>
  <si>
    <t>978-5-16-010582-6</t>
  </si>
  <si>
    <t>00.02.09, 51.02.03</t>
  </si>
  <si>
    <t>720049.01.01</t>
  </si>
  <si>
    <t>Русский яз. и культура речи для сотруд. полиции: Уч.пос. / Ю.А.Воронцова-М.:НИЦ ИНФРА-М,2024-225 с.(СПО)(п)</t>
  </si>
  <si>
    <t>РУССКИЙ ЯЗЫК И КУЛЬТУРА РЕЧИ ДЛЯ СОТРУДНИКОВ ПОЛИЦИИ</t>
  </si>
  <si>
    <t>Воронцова Ю.А., Хорошко Е.Ю.</t>
  </si>
  <si>
    <t>978-5-16-019800-2</t>
  </si>
  <si>
    <t>683405.08.01</t>
  </si>
  <si>
    <t>Русский язык в деловой документации: Уч. / М.В.Марьева - М.:НИЦ ИНФРА-М,2026 - 323 с.-(СПО)(П)</t>
  </si>
  <si>
    <t>РУССКИЙ ЯЗЫК В ДЕЛОВОЙ ДОКУМЕНТАЦИИ</t>
  </si>
  <si>
    <t>Марьева М.В.</t>
  </si>
  <si>
    <t>978-5-16-014047-6</t>
  </si>
  <si>
    <t>00.02.34, 31.02.01, 40.02.02, 40.02.04, 44.02.01, 44.02.02, 44.02.03, 44.02.04, 44.02.05, 44.02.06, 46.02.01, 46.02.02, 49.02.02, 51.02.03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</si>
  <si>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40.02.01 «Право и организация социального обеспечения», 40.02.02 «Правоохранительная деятельность», 40.02.03 «Право и судебное администрирование»</t>
  </si>
  <si>
    <t>685716.01.01</t>
  </si>
  <si>
    <t>Русский язык и культура речи. Практикум: Уч.пос. / Л.Я.Ковадло-М.:НИЦ ИНФРА-М,2023.-630 с.(СПО)(П)</t>
  </si>
  <si>
    <t>РУССКИЙ ЯЗЫК И КУЛЬТУРА РЕЧИ. ПРАКТИКУМ</t>
  </si>
  <si>
    <t>Ковадло Л.Я.</t>
  </si>
  <si>
    <t>978-5-16-015036-9</t>
  </si>
  <si>
    <t>00.02.09, 00.02.34, 44.02.01, 44.02.02, 44.02.03, 44.02.04, 44.02.05, 44.02.06, 46.02.01, 46.02.02, 49.02.02, 51.02.03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</si>
  <si>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профессиональную программу среднего профессионального образования (протокол № 6 от 08.06.2022)</t>
  </si>
  <si>
    <t>654515.02.01</t>
  </si>
  <si>
    <t>Русский язык и культура речи. Теория: Уч. / Л.Я.Ковадло-М.:НИЦ ИНФРА-М,2023.- 823 с.(СПО)(П)</t>
  </si>
  <si>
    <t>РУССКИЙ ЯЗЫК И КУЛЬТУРА РЕЧИ. ТЕОРИЯ</t>
  </si>
  <si>
    <t>978-5-16-014980-6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</si>
  <si>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основную профессиональную программу среднего профессионального образования (протокол № 6 от 08.06.2022)</t>
  </si>
  <si>
    <t>719923.02.01</t>
  </si>
  <si>
    <t>Русский язык и культура речи: ист...: Уч.пос. / Б.Р.Мандель - М.:Вуз.уч.,НИЦ ИНФРА-М,2023-267 с.(П)</t>
  </si>
  <si>
    <t>РУССКИЙ ЯЗЫК И КУЛЬТУРА РЕЧИ: ИСТОРИЯ, ТЕОРИЯ, ПРАКТИКА</t>
  </si>
  <si>
    <t>978-5-9558-0646-4</t>
  </si>
  <si>
    <t>00.02.09, 00.02.34, 44.02.01, 46.02.01, 46.02.02, 51.02.03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</si>
  <si>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гуманитарным специальностям (протокол № 12 от 24.06.2019)</t>
  </si>
  <si>
    <t>066400.20.01</t>
  </si>
  <si>
    <t>Русский язык и культура речи: Уч. / Н.В.Кузнецова, - 3 изд. - М.:НИЦ ИНФРА-М,2025 - 368 с.(СПО)(п)</t>
  </si>
  <si>
    <t>РУССКИЙ ЯЗЫК И КУЛЬТУРА РЕЧИ, ИЗД.3</t>
  </si>
  <si>
    <t>Кузнецова Н.В.</t>
  </si>
  <si>
    <t>978-5-16-016335-2</t>
  </si>
  <si>
    <t>00.02.34, 44.02.01, 44.02.02, 44.02.03, 44.02.04, 44.02.05, 44.02.06, 46.02.01, 46.02.02, 49.02.02, 51.02.03</t>
  </si>
  <si>
    <t>Допущено Министерством образования Российской Федерации в качестве учебника для студентов учреждений среднего профессионального образования</t>
  </si>
  <si>
    <t>0309</t>
  </si>
  <si>
    <t>719359.07.01</t>
  </si>
  <si>
    <t>Русский язык и культура речи: Уч. / Под ред. Гойхмана О.Я. -2 изд. -М.:НИЦ ИНФРА-М,2024-240с.(СПО)(П)</t>
  </si>
  <si>
    <t>РУССКИЙ ЯЗЫК И КУЛЬТУРА РЕЧИ, ИЗД.2</t>
  </si>
  <si>
    <t>Гойхман О.Я., Гончарова Л.М., Лапшина О.Н. и др.</t>
  </si>
  <si>
    <t>978-5-16-015627-9</t>
  </si>
  <si>
    <t>00.02.34, 38.02.01, 44.02.01, 44.02.02, 44.02.03, 44.02.04, 44.02.05, 44.02.06, 46.02.01, 46.02.02, 49.02.02, 51.02.03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</si>
  <si>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(протокол № 11 от 10.06.2019)</t>
  </si>
  <si>
    <t>108450.12.01</t>
  </si>
  <si>
    <t>Русский язык и культура речи: Уч.пос. / Е.А.Самойлова - М.:ИД ФОРУМ,НИЦ ИНФРА-М,2025 - 144 с.(ПО)(П)</t>
  </si>
  <si>
    <t>РУССКИЙ ЯЗЫК И КУЛЬТУРА РЕЧИ</t>
  </si>
  <si>
    <t>Самойлова Е. А.</t>
  </si>
  <si>
    <t>978-5-8199-0802-0</t>
  </si>
  <si>
    <t>00.02.34, 20.02.05, 44.02.01, 44.02.02, 44.02.03, 44.02.04, 44.02.05, 44.02.06, 46.02.01, 46.02.02, 49.02.02, 51.02.03</t>
  </si>
  <si>
    <t>Допущено Государственным университетом гуманитарных наук в качестве учебного пособия для студентов учреждений среднего профессионального образования</t>
  </si>
  <si>
    <t>Институт содержания и методов обучения им. В.С. Леднева</t>
  </si>
  <si>
    <t>719412.03.01</t>
  </si>
  <si>
    <t>Русский язык и культура речи: Уч.пос. / О.Ю.Машина - М.:ИЦ РИОР, НИЦ ИНФРА-М,2024. - 168 с.-(СПО)(п)</t>
  </si>
  <si>
    <t>Машина О. Ю.</t>
  </si>
  <si>
    <t>978-5-369-01825-5</t>
  </si>
  <si>
    <t>00.02.34, 44.02.01, 44.02.02, 44.02.03, 44.02.05, 44.02.06, 46.02.01, 46.02.02, 51.02.03</t>
  </si>
  <si>
    <t>Новгородский государственный университет им. Ярослава Мудрого</t>
  </si>
  <si>
    <t>683170.05.01</t>
  </si>
  <si>
    <t>Русский язык и литература: Практикум: В 2 ч.Ч.1 / Под ред. Алексеева А.В. - М.:НИЦ ИНФРА-М,2024 - 195 с.(СПО)(П)</t>
  </si>
  <si>
    <t>РУССКИЙ ЯЗЫК И ЛИТЕРАТУРА</t>
  </si>
  <si>
    <t>Алексеев А.В., Лапутина Т.В., Михайлова И.Д. и др.</t>
  </si>
  <si>
    <t>978-5-16-014498-6</t>
  </si>
  <si>
    <t>00.02.09, 31.02.01, 46.02.01, 46.02.02, 51.02.03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</si>
  <si>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(протокол № 6 от 25.03.2019)</t>
  </si>
  <si>
    <t>641800.04.01</t>
  </si>
  <si>
    <t>Русский язык и литература: Уч.: Ч. 1: Рус. яз./ Под ред. Алексеев А.В.-М.:НИЦ ИНФРА-М,2024.-363 с.(СПО)(П)</t>
  </si>
  <si>
    <t>978-5-16-014499-3</t>
  </si>
  <si>
    <t>00.02.09, 46.02.01, 46.02.02, 51.02.03</t>
  </si>
  <si>
    <t>652141.05.01</t>
  </si>
  <si>
    <t>Русский язык и литература: Уч.: Ч.2: Литература / В.К.Сигов и др. - М.:НИЦ ИНФРА-М,2024-491с(СПО)(П)</t>
  </si>
  <si>
    <t>Сигов В.К., Иванова Е.В., Колядич Т.М. и др.</t>
  </si>
  <si>
    <t>978-5-16-013325-6</t>
  </si>
  <si>
    <t>681866.04.01</t>
  </si>
  <si>
    <t>Русский язык: Уч.пос. / А.В.Сухотинская - М.:НИЦ ИНФРА-М,2024 - 215 с.(СПО)(П)</t>
  </si>
  <si>
    <t>РУССКИЙ ЯЗЫК</t>
  </si>
  <si>
    <t>Сухотинская А.В.</t>
  </si>
  <si>
    <t>978-5-16-014533-4</t>
  </si>
  <si>
    <t>00.02.34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</si>
  <si>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программу среднего профессионального образования (протокол № 5 от 19.05.2021)</t>
  </si>
  <si>
    <t>842464.01.01</t>
  </si>
  <si>
    <t>Садово-парковое искусство: Уч.пос. / Н.В.Кригер - М.:НИЦ ИНФРА-М,2025. - 376 с.-(СПО (КрГАУ))(п)</t>
  </si>
  <si>
    <t>САДОВО-ПАРКОВОЕ ИСКУССТВО</t>
  </si>
  <si>
    <t>Кригер Н.В., Фомина Н.В.</t>
  </si>
  <si>
    <t>978-5-16-020347-8</t>
  </si>
  <si>
    <t>683107.02.01</t>
  </si>
  <si>
    <t>Санаторно-курортное дело: Уч. / Под ред. Молчанова Г.И. - М.:НИЦ ИНФРА-М,2023 - 397 с.(СПО)(П)</t>
  </si>
  <si>
    <t>САНАТОРНО-КУРОРТНОЕ ДЕЛО</t>
  </si>
  <si>
    <t>Молчанов Г.И., Бондаренко Н.Г., Дегтярева И.Н. и др.</t>
  </si>
  <si>
    <t>978-5-16-016935-4</t>
  </si>
  <si>
    <t>43.02.01, 43.02.11, 43.02.16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</si>
  <si>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43.02.10 «Туризм», 43.02.11 «Гостиничный сервис» (протокол № 11 от 09.11.2020)</t>
  </si>
  <si>
    <t>Северо-Осетинский государственный университет им. К.Л. Хетагурова</t>
  </si>
  <si>
    <t>686658.07.01</t>
  </si>
  <si>
    <t>Санитария и гигиена парикмахерских услуг: Уч.пос. / И.С.Тундалева - М.:НИЦ ИНФРА-М,2024 - 205 с.-(СПО)(П)</t>
  </si>
  <si>
    <t>САНИТАРИЯ И ГИГИЕНА ПАРИКМАХЕРСКИХ УСЛУГ</t>
  </si>
  <si>
    <t>978-5-16-014391-0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</si>
  <si>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43.02.13 «Технология парикмахерского искусства» (протокол № 8 от 22.06.2020)</t>
  </si>
  <si>
    <t>062300.21.01</t>
  </si>
  <si>
    <t>Санитарно-техническое оборудование зданий: Уч. / Ю.М.Варфоломеев - М.:НИЦ ИНФРА-М,2026  - 249 с.(СПО)(П)</t>
  </si>
  <si>
    <t>САНИТАРНО-ТЕХНИЧЕСКОЕ ОБОРУДОВАНИЕ ЗДАНИЙ</t>
  </si>
  <si>
    <t>Варфоломеев Ю.М., Орлов В.А., Варфоломеев Ю.М.</t>
  </si>
  <si>
    <t>978-5-16-012602-9</t>
  </si>
  <si>
    <t>08.01.29, 08.02.04, 08.02.13, 08.02.14, 38.01.02</t>
  </si>
  <si>
    <t>Допущено Государственным комитетом Российской Федерации по строительству и жилищнокоммунальному комплексу в качестве учебника для студентов средних специальных учебных заведений, обучающихся по специальности 08.02.08 «Монтаж и эксплуатация оборудования и систем газоснабжения»</t>
  </si>
  <si>
    <t>683108.08.01</t>
  </si>
  <si>
    <t>САПР конструктора машиностроителя: Уч. / Э.М.Берлинер - М.:Форум, НИЦ ИНФРА-М,2025 - 288 с.-(СПО)(П)</t>
  </si>
  <si>
    <t>САПР КОНСТРУКТОРА МАШИНОСТРОИТЕЛЯ</t>
  </si>
  <si>
    <t>Берлинер Э.М., Таратынов О.В.</t>
  </si>
  <si>
    <t>978-5-00091-558-5</t>
  </si>
  <si>
    <t>15.02.03, 15.02.16, 15.02.17, 15.02.18, 24.02.01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</si>
  <si>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УГС 15.02.00 «Машиностроение»</t>
  </si>
  <si>
    <t>843813.01.01</t>
  </si>
  <si>
    <t>САПР технолога-машиностроителя: Уч. /Э.М.Берлинер - М.:Форум, НИЦ ИНФРА-М,2025 - 336 с.(СПО)(п)</t>
  </si>
  <si>
    <t>САПР ТЕХНОЛОГА-МАШИНОСТРОИТЕЛЯ</t>
  </si>
  <si>
    <t>978-5-00091-815-9</t>
  </si>
  <si>
    <t>15.02.04, 15.02.09, 15.02.16, 15.02.18, 15.02.19</t>
  </si>
  <si>
    <t>253200.08.01</t>
  </si>
  <si>
    <t>Сборник заданий по технической графике: Уч. пос. / Е.А. Василенко - М.: НИЦ ИНФРА-М, 2022-392с.(СПО)</t>
  </si>
  <si>
    <t>СБОРНИК ЗАДАНИЙ ПО ТЕХНИЧЕСКОЙ ГРАФИКЕ</t>
  </si>
  <si>
    <t>Василенко Е. А., Чекмарев А. А.</t>
  </si>
  <si>
    <t>978-5-16-009402-1</t>
  </si>
  <si>
    <t>08.01.22, 08.01.23, 08.01.29, 08.01.32, 09.02.08, 10.02.04, 11.02.09, 11.02.11, 11.02.18, 13.01.03, 13.01.04, 13.01.06, 13.01.07, 13.01.13, 15.01.13, 15.01.17, 15.01.18, 15.01.22, 15.01.29, 15.01.35, 15.01.36, 15.01.37, 15.01.38, 18.01.06, 18.01.08, 18.01.26, 18.01.27, 18.02.13, 21.01.01, 21.01.02, 21.01.03, 21.01.04, 21.01.17, 23.01.07, 23.01.13, 23.01.14, 23.01.15, 24.01.01, 26.02.04, 29.01.28, 35.01.05, 35.01.06, 35.01.15, 35.01.28, 35.01.30</t>
  </si>
  <si>
    <t>083410.10.01</t>
  </si>
  <si>
    <t>Сборник задач и упр. по информатике: Уч.пос. / Под ред. Гагариной Л.Г. - М.:ИД Форум, НИЦ ИНФРА-М,2025. - 255 с.(П)</t>
  </si>
  <si>
    <t>СБОРНИК ЗАДАЧ И УПРАЖНЕНИЙ ПО ИНФОРМАТИКЕ</t>
  </si>
  <si>
    <t>В.Д.Колдаев, Л.Г.Гагарина</t>
  </si>
  <si>
    <t>978-5-8199-0928-7</t>
  </si>
  <si>
    <t>09.02.05, 10.02.04, 10.02.05, 11.02.06, 12.02.07, 12.02.09, 12.02.10, 15.02.09, 25.02.01, 25.02.02, 25.02.03, 25.02.04, 25.02.06, 25.02.07, 26.02.02, 26.02.03, 26.02.05, 26.02.06, 27.02.03</t>
  </si>
  <si>
    <t>845365.01.01</t>
  </si>
  <si>
    <t>Сборник задач по курсу начертательной геометрии: Уч.пос. / Н.А.Сальков, - 2 изд. - М.:НИЦ ИНФРА-М,2025-127 с.(СПО)(П)</t>
  </si>
  <si>
    <t>СБОРНИК ЗАДАЧ ПО КУРСУ НАЧЕРТАТЕЛЬНОЙ ГЕОМЕТРИИ, ИЗД.2</t>
  </si>
  <si>
    <t>Сальков Н. А.</t>
  </si>
  <si>
    <t>978-5-16-020466-6</t>
  </si>
  <si>
    <t>063100.16.01</t>
  </si>
  <si>
    <t>Сборник задач по математике: Уч. пос. / А.А.Дадаян - 3 изд. - М.:Форум, ИНФРА-М,2025. - 352 с.(П)</t>
  </si>
  <si>
    <t>СБОРНИК ЗАДАЧ ПО МАТЕМАТИКЕ, ИЗД.3</t>
  </si>
  <si>
    <t>978-5-91134-803-8</t>
  </si>
  <si>
    <t>00.02.06, 49.02.03</t>
  </si>
  <si>
    <t>Рекомендововно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</t>
  </si>
  <si>
    <t>060860.22.01</t>
  </si>
  <si>
    <t>Сборник задач по строительным конструкциям: Уч.пос. / А.И.Павлова - М.:НИЦ ИНФРА-М,2026 - 143 с.(СПО)(П)</t>
  </si>
  <si>
    <t>СБОРНИК ЗАДАЧ ПО СТРОИТЕЛЬНЫМ КОНСТРУКЦИЯМ</t>
  </si>
  <si>
    <t>Павлова А.И.</t>
  </si>
  <si>
    <t>978-5-16-005374-5</t>
  </si>
  <si>
    <t>08.02.01, 08.02.02, 08.02.03</t>
  </si>
  <si>
    <t>Допущено Государственным комитетом Российской Федерации по строительству и жилищно-коммунальному комплексу в качестве учебного пособия для студентов средних специальных учебных заведений, обучающихся по направлению 08.02.01 «Строительство и эксплуатация зданий и сооружений»</t>
  </si>
  <si>
    <t>741932.07.01</t>
  </si>
  <si>
    <t>Сварка: введение в специальность: Уч.пос. / М.П.Шалимов - М.:НИЦ ИНФРА-М,2025 - 309 с.-(СПО)(П)</t>
  </si>
  <si>
    <t>СВАРКА: ВВЕДЕНИЕ В СПЕЦИАЛЬНОСТЬ</t>
  </si>
  <si>
    <t>Шалимов М.П., Панов В.И., Вотинова Е.Б.</t>
  </si>
  <si>
    <t>978-5-16-016700-8</t>
  </si>
  <si>
    <t>15.00.00, 12.02.04, 15.01.05, 15.01.06, 15.01.07, 15.01.29, 15.01.35, 15.01.36, 15.01.37, 15.02.01, 15.02.04, 15.02.16, 15.02.17, 15.02.18, 15.02.19, 23.01.03, 26.01.01, 26.02.02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</si>
  <si>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15.00.00 «Машиностроение» (протокол № 9 от 28.09.2020)</t>
  </si>
  <si>
    <t>732744.05.01</t>
  </si>
  <si>
    <t>Семейная педагогика и домашнее воспитание: Уч. / Под ред. Сергеевой В.П. - М.:НИЦ ИНФРА-М,2025. - 197 с.(СПО)(П)</t>
  </si>
  <si>
    <t>СЕМЕЙНАЯ ПЕДАГОГИКА И ДОМАШНЕЕ ВОСПИТАНИЕ</t>
  </si>
  <si>
    <t>Сергеева В.П., Никитина Э.К., Недвецкая М.Н. и др.</t>
  </si>
  <si>
    <t>978-5-16-016178-5</t>
  </si>
  <si>
    <t>44.02.01, 44.02.03, 44.02.04, 44.02.06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</si>
  <si>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44.02.00 «Образование и педагогические науки»  (протокол № 10 от 12.10.2020)</t>
  </si>
  <si>
    <t>683109.05.01</t>
  </si>
  <si>
    <t>Семейное право: Уч. / Под ред. Демичева А.А. - 2 изд.-М.:ИД Форум, НИЦ ИНФРА-М,2023-301 с.-(СПО)(П)</t>
  </si>
  <si>
    <t>СЕМЕЙНОЕ ПРАВО, ИЗД.2</t>
  </si>
  <si>
    <t>Демичев А.А., Голованова О.В., Карпычев М.В. и др.</t>
  </si>
  <si>
    <t>978-5-8199-0803-7</t>
  </si>
  <si>
    <t>Рекомендовано Учебно-методическим советом СПО в качестве учебника  для студентов учебных заведений, реализующих программу среднего профессионального образования по специальностям 40.02.01 «Право и организация социального обеспечения», 40.02.02 «Правоохранительная деятельность», 40.02.03 «Право и судебное администрирование»</t>
  </si>
  <si>
    <t>683109.06.01</t>
  </si>
  <si>
    <t>Семейное право: Уч. / Под ред. Демичева А.А. - 3 изд.-М.:ИД Форум, НИЦ ИНФРА-М,2024-291 с.-(СПО)(п)</t>
  </si>
  <si>
    <t>СЕМЕЙНОЕ ПРАВО, ИЗД.3</t>
  </si>
  <si>
    <t>978-5-16-019393-9</t>
  </si>
  <si>
    <t>736523.06.01</t>
  </si>
  <si>
    <t>Сервисная деятельность: Уч. / Г.А.Резник - М.:НИЦ ИНФРА-М,2025 - 202 с.(СПО)(П)</t>
  </si>
  <si>
    <t>СЕРВИСНАЯ ДЕЯТЕЛЬНОСТЬ</t>
  </si>
  <si>
    <t>Резник Г.А., Маскаева А.И., Пономаренко Ю.С.</t>
  </si>
  <si>
    <t>978-5-16-016211-9</t>
  </si>
  <si>
    <t>08.02.14, 42.02.08, 42.02.12, 43.02.02, 43.02.04, 43.02.06, 43.02.07, 43.02.16, 43.02.17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</si>
  <si>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43.02.00 «Сервис и туризм» (протокол № 3 от 17.02.2020)</t>
  </si>
  <si>
    <t>132550.20.01</t>
  </si>
  <si>
    <t>Сервисное обслуж. автомобильного транспорта: Уч.пос. / В.А.Стуканов - М.:НИЦ ИНФРА-М,2026. - 207 с.(СПО)(п)</t>
  </si>
  <si>
    <t>СЕРВИСНОЕ ОБСЛУЖИВАНИЕ АВТОМОБИЛЬНОГО ТРАНСПОРТА</t>
  </si>
  <si>
    <t>978-5-16-021146-6</t>
  </si>
  <si>
    <t>23.01.03, 23.01.17, 23.02.03, 23.02.07, 43.02.06</t>
  </si>
  <si>
    <t>Рекомендовано в качестве учебного пособия для студентов учреждений среднего профессионального образования, обучающихся по специальности 23.02.03 «Техническое обслуживание и ремонт автомобильного транспорта»</t>
  </si>
  <si>
    <t>100100.17.01</t>
  </si>
  <si>
    <t>Сестринское дело в терапии с курсом первич..: Уч.пос. / В.Г.Лычев - 3 изд. - Форум:ИНФРА-М, 2026 - 432 с.(П)</t>
  </si>
  <si>
    <t>СЕСТРИНСКОЕ ДЕЛО В ТЕРАПИИ С КУРСОМ ПЕРВИЧНОЙ МЕДИЦИНСКОЙ ПОМОЩИ. РУКОВОДСТВО ПО ПРОВЕДЕНИЮ ПРАКТИЧЕСКИХ ЗАНЯТИЙ, ИЗД.3</t>
  </si>
  <si>
    <t>978-5-00091-755-8</t>
  </si>
  <si>
    <t>31.02.01, 31.02.02, 34.01.01, 34.02.01, 34.02.02</t>
  </si>
  <si>
    <t>083350.14.01</t>
  </si>
  <si>
    <t>Сестринское дело в терапии. С курсом...: Уч. пос. / В.Г.Лычев - 2 изд. - М.:Форум: Инфра-М, 2026 - 543 с.(ПО) (п)</t>
  </si>
  <si>
    <t>СЕСТРИНСКОЕ ДЕЛО В ТЕРАПИИ. С КУРСОМ ПЕРВИЧНОЙ МЕДИЦИНСКОЙ ПОМОЩИ, ИЗД.2</t>
  </si>
  <si>
    <t>Лычев В. Г., Карманов В. К.</t>
  </si>
  <si>
    <t>978-5-00091-807-4</t>
  </si>
  <si>
    <t>210400.08.01</t>
  </si>
  <si>
    <t>Сестринское дело при инфекц. забол.: Уч.пос. / И.В.Колмаков-М.:ИЦ РИОР:НИЦ ИНФРА-М,2024-256с(ПО) (п)</t>
  </si>
  <si>
    <t>СЕСТРИНСКОЕ ДЕЛО ПРИ ИНФЕКЦИОННЫХ ЗАБОЛЕВАНИЯХ</t>
  </si>
  <si>
    <t>Колмаков И.В.</t>
  </si>
  <si>
    <t>978-5-369-01219-2</t>
  </si>
  <si>
    <t>31.02.01, 31.02.02, 32.02.01</t>
  </si>
  <si>
    <t>Рекомендовано в качестве учебного пособия для студентов, обучающихся в учебных заведениях, рализующих программы среднего профессионального образования по специальностям 060501 «Сестринское дело», 060101 «Лечебное дело» (повышенный уровень), 060102 «А</t>
  </si>
  <si>
    <t>723348.04.01</t>
  </si>
  <si>
    <t>Силовая электроника: Уч.пос. / Г.Б.Онищенко - М.:НИЦ ИНФРА-М,2025 - 122 c.(О)</t>
  </si>
  <si>
    <t>СИЛОВАЯ ЭЛЕКТРОНИКА: СИЛОВЫЕ ПОЛУПРОВОДНИКОВЫЕ ПРЕОБРАЗОВАТЕЛИ ДЛЯ ЭЛЕКТРОПРИВОДА И ЭЛЕКТРОСНАБЖЕНИЯ</t>
  </si>
  <si>
    <t>Онищенко Г.Б., Соснин О.М.</t>
  </si>
  <si>
    <t>978-5-16-015776-4</t>
  </si>
  <si>
    <t>13.02.01, 13.02.02, 13.02.07, 13.02.08, 13.02.09, 13.02.12, 13.02.13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</si>
  <si>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13.02.00 "Электро- и теплоэнергетика"  (протокол № 8 от 22.06.2020)</t>
  </si>
  <si>
    <t>051900.17.01</t>
  </si>
  <si>
    <t>Синдромная патология, дифференц. диагност...: Уч.пос. / Г.Д.Тобулток - 3 изд. - М.:НИЦ ИНФРА-М,2025 - 336 с.(П)</t>
  </si>
  <si>
    <t>СИНДРОМНАЯ ПАТОЛОГИЯ, ДИФФЕРЕНЦИАЛЬНАЯ ДИАГНОСТИКА И ФАРМАКОТЕРАПИЯ, ИЗД.3</t>
  </si>
  <si>
    <t>Тобулток Г. Д., Иванова Н. А.</t>
  </si>
  <si>
    <t>978-5-16-016861-6</t>
  </si>
  <si>
    <t>31.02.01, 31.02.02, 31.02.03, 32.02.01, 33.02.01, 34.02.01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</si>
  <si>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специальности 31.02.01 «Лечебное дело»</t>
  </si>
  <si>
    <t>706848.03.01</t>
  </si>
  <si>
    <t>Система формир. учебной деят. младших шк.:Уч.пос. / Г.И.Вергелес- 3 изд.-М.:НИЦ ИНФРА-М,2023-174с(П)</t>
  </si>
  <si>
    <t>СИСТЕМА ФОРМИРОВАНИЯ УЧЕБНОЙ ДЕЯТЕЛЬНОСТИ МЛАДШИХ ШКОЛЬНИКОВ, ИЗД.3</t>
  </si>
  <si>
    <t>Вергелес Г.И.</t>
  </si>
  <si>
    <t>978-5-16-015122-9</t>
  </si>
  <si>
    <t>44.02.02, 44.02.03, 44.02.04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</si>
  <si>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44.02.02 «Преподавание в начальных классах» (протокол № 12 от 24.06.2019)</t>
  </si>
  <si>
    <t>049550.20.01</t>
  </si>
  <si>
    <t>Системы автоматизир. упр. электропривода: Уч. / В.В.Москаленко - М.:НИЦ ИНФРА-М,2026. - 208 с.(СПО)(П)</t>
  </si>
  <si>
    <t>СИСТЕМЫ АВТОМАТИЗИРОВАННОГО УПРАВЛЕНИЯ ЭЛЕКТРОПРИВОДА</t>
  </si>
  <si>
    <t>Москаленко В.В.</t>
  </si>
  <si>
    <t>978-5-16-005116-1</t>
  </si>
  <si>
    <t>08.02.09, 08.02.13, 13.01.10, 13.02.13, 15.01.37, 15.02.01, 15.02.03, 15.02.04, 15.02.06, 15.02.07, 15.02.17, 15.02.18</t>
  </si>
  <si>
    <t>Рекомендовано Государственным комитетом Российской Федерации по строительству и жилищно-коммунальному комплексу в качестве учебника для студентов средних специальных учебных заведений, обучающихся по специальности «Монтаж, наладка и эксплуатация электрооборудования промышленных и гражданских зданий»</t>
  </si>
  <si>
    <t>Национальный исследовательский институт мировой экономики и международных отношений им. Е.М. Примакова</t>
  </si>
  <si>
    <t>085550.18.01</t>
  </si>
  <si>
    <t>Системы и оборуд. для созд. микроклим. помещ.: Уч. / О.Я.Кокорин - 2 изд. - НИЦ ИНФРА-М,2026 - 218 с.(СПО)(п)</t>
  </si>
  <si>
    <t>СИСТЕМЫ И ОБОРУДОВАНИЕ ДЛЯ СОЗДАНИЯ МИКРОКЛИМАТА ПОМЕЩЕНИЙ, ИЗД.2</t>
  </si>
  <si>
    <t>Кокорин О.Я.</t>
  </si>
  <si>
    <t>978-5-16-006509-0</t>
  </si>
  <si>
    <t>08.01.29, 08.02.01, 08.02.02, 08.02.13, 08.02.14, 15.02.06</t>
  </si>
  <si>
    <t>Допущено Федеральным агентством по строительству и жилищно-коммунальному хозяйству в качестве учебника для студентов средних специальных учебных заведений, обучающихся по специальности 08.02.07 «Монтаж и эксплуатация внутренних сантехнических устройств и вентиляции»</t>
  </si>
  <si>
    <t>842370.01.01</t>
  </si>
  <si>
    <t>Складская логистика: Уч. / Г.Г.Иванов - М.:ИД ФОРУМ,НИЦ ИНФРА-М,2025 - 192 с.(СПО)(о)</t>
  </si>
  <si>
    <t>СКЛАДСКАЯ ЛОГИСТИКА</t>
  </si>
  <si>
    <t>Иванов Г.Г., Киреева Н.С.</t>
  </si>
  <si>
    <t>978-5-8199-0964-5</t>
  </si>
  <si>
    <t>08.02.01, 38.02.03, 38.02.08</t>
  </si>
  <si>
    <t>098050.11.01</t>
  </si>
  <si>
    <t>Словарь терминов по акушерству, гинекологии..../ Г.Д.Некрасов - М.:Форум, НИЦ ИНФРА-М,2025 -112с.(О)</t>
  </si>
  <si>
    <t>СЛОВАРЬ ТЕРМИНОВ ПО АКУШЕРСТВУ, ГИНЕКОЛОГИИ И БИОТЕХНИКЕ РАЗМНОЖЕНИЯ ЖИВОТНЫХ</t>
  </si>
  <si>
    <t>Некрасов Г. Д., Суманова И. А.</t>
  </si>
  <si>
    <t>978-5-91134-288-3</t>
  </si>
  <si>
    <t>Словарь</t>
  </si>
  <si>
    <t>19.02.11, 19.02.12, 36.01.01, 36.02.01, 36.02.03</t>
  </si>
  <si>
    <t>Рекомендовано Учебно-методическим объединением вузов РФ по образованию в области зоотехнии и ветеринарии в качестве учебного пособия для студентов вузов, обучающихся по специальности 110401 "Зоотехния"</t>
  </si>
  <si>
    <t>741958.08.01</t>
  </si>
  <si>
    <t>Современные технологии дош. обр.: Уч.пос. / Под ред. Захаровой Л.М. - М.:НИЦ ИНФРА-М,2026 - 251с (СПО)(П)</t>
  </si>
  <si>
    <t>СОВРЕМЕННЫЕ ТЕХНОЛОГИИ ДОШКОЛЬНОГО ОБРАЗОВАНИЯ</t>
  </si>
  <si>
    <t>Андрианова Е.И., Богомолова М.И., Гришина А.А. и др.</t>
  </si>
  <si>
    <t>978-5-16-016398-7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</si>
  <si>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44.02.01 «Дошкольное образование», 44.02.03 «Педагогика дополнительного образования» (протокол № 8 от 22.06.2020)</t>
  </si>
  <si>
    <t>Ульяновский государственный педагогический университет им. И.Н. Ульянова</t>
  </si>
  <si>
    <t>763411.02.01</t>
  </si>
  <si>
    <t>Современные технологии и технич. средства информатизации: Уч. / О.В.Шишов - М.:НИЦ ИНФРА-М,2025 - 462 с.(П)</t>
  </si>
  <si>
    <t>СОВРЕМЕННЫЕ ТЕХНОЛОГИИ И ТЕХНИЧЕСКИЕ СРЕДСТВА ИНФОРМАТИЗАЦИИ</t>
  </si>
  <si>
    <t>978-5-16-017112-8</t>
  </si>
  <si>
    <t>00.02.03, 09.01.04, 09.01.05, 09.02.07, 46.02.01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</si>
  <si>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в области информационных технологий и техническим специальностям (протокол № 4 от 21.04.2021)</t>
  </si>
  <si>
    <t>766525.03.01</t>
  </si>
  <si>
    <t>Современные электромонтажные изделия и устройства... / Ю.Д.Сибикин, - 2 изд.,-М.:НИЦ ИНФРА-М,2025.-510 с.</t>
  </si>
  <si>
    <t>СОВРЕМЕННЫЕ ЭЛЕКТРОМОНТАЖНЫЕ ИЗДЕЛИЯ И УСТРОЙСТВА НА НАПРЯЖЕНИЕ ДО 1000 ВОЛЬТ, ИЗД.2</t>
  </si>
  <si>
    <t>Сибикин Ю.Д.</t>
  </si>
  <si>
    <t>978-5-16-017538-6</t>
  </si>
  <si>
    <t>08.01.31</t>
  </si>
  <si>
    <t>821016.02.01</t>
  </si>
  <si>
    <t>Создание флорист. изд. из живых срезанных цветов..: Уч.пос. / И.С.Тундалева - М.:НИЦ ИНФРА-М,2026. - 201 с.(п)</t>
  </si>
  <si>
    <t>СОЗДАНИЕ ФЛОРИСТИЧЕСКИХ ИЗДЕЛИЙ ИЗ ЖИВЫХ СРЕЗАННЫХ ЦВЕТОВ, СУХОЦВЕТОВ, ИСКУССТВЕННЫХ ЦВЕТОВ И ДРУГИХ МАТЕРИАЛОВ</t>
  </si>
  <si>
    <t>978-5-16-019674-9</t>
  </si>
  <si>
    <t>842043.01.01</t>
  </si>
  <si>
    <t>Сольфеджио и теория музыки: Практ.: Уч.пос. / М.В.Сиксимова - М.:НИЦ ИНФРА-М,2025. - 164 с.(СПО)(п)</t>
  </si>
  <si>
    <t>СОЛЬФЕДЖИО И ТЕОРИЯ МУЗЫКИ: ПРАКТИКУМ</t>
  </si>
  <si>
    <t>Сиксимова М.В.</t>
  </si>
  <si>
    <t>978-5-16-020302-7</t>
  </si>
  <si>
    <t>Музыка. Нотные издания</t>
  </si>
  <si>
    <t>52.02.02, 53.01.01, 53.02.01, 53.02.02, 53.02.03, 53.02.04, 53.02.05, 53.02.07, 53.02.08</t>
  </si>
  <si>
    <t>Волгоградский государственный институт искусств и культуры</t>
  </si>
  <si>
    <t>775774.02.01</t>
  </si>
  <si>
    <t>Составление и использование бух. (финанс.) отчет.: Уч. / М.Н.Ермакова - М.:НИЦ ИНФРА-М,2025 - 302 с.(СПО)(п)</t>
  </si>
  <si>
    <t>СОСТАВЛЕНИЕ И ИСПОЛЬЗОВАНИЕ БУХГАЛТЕРСКОЙ (ФИНАНСОВОЙ) ОТЧЕТНОСТИ</t>
  </si>
  <si>
    <t>Ермакова М.Н.</t>
  </si>
  <si>
    <t>978-5-16-019367-0</t>
  </si>
  <si>
    <t>049850.20.01</t>
  </si>
  <si>
    <t>Социальная психология: Уч. / В.А.Соснин - 3 изд. - М.:Форум, ИНФРА-М Изд. Дом,2025 - 335 с.(СПО)(П)</t>
  </si>
  <si>
    <t>СОЦИАЛЬНАЯ ПСИХОЛОГИЯ, ИЗД.3</t>
  </si>
  <si>
    <t>Соснин В.А., Красникова Е.А.</t>
  </si>
  <si>
    <t>978-5-00091-492-2</t>
  </si>
  <si>
    <t>00.01.04, 00.02.15, 34.02.01, 39.02.01, 39.02.02, 39.02.03, 43.02.17, 44.02.06, 51.02.02, 51.02.03, 54.02.01, 49.02.03</t>
  </si>
  <si>
    <t>Институт психологии Российской академии наук</t>
  </si>
  <si>
    <t>095240.20.01</t>
  </si>
  <si>
    <t>Социальная психология: Уч.пос. / Н.С.Ефимова - М.:ИД ФОРУМ, НИЦ ИНФРА-М,2025 - 192 с.(СПО)(П)</t>
  </si>
  <si>
    <t>СОЦИАЛЬНАЯ ПСИХОЛОГИЯ</t>
  </si>
  <si>
    <t>978-5-8199-0723-8</t>
  </si>
  <si>
    <t>44.02.01, 44.02.02, 44.02.06, 52.02.01, 52.02.02, 52.02.05</t>
  </si>
  <si>
    <t>Допущено Министерством образования  и науки Российской Федерации в качестве учебного пособия для студентов образовательных учреждений среднего профессионального образования</t>
  </si>
  <si>
    <t>684802.12.01</t>
  </si>
  <si>
    <t>Социальная работа с лицами с огран. возм. здоровья: Уч.пос. / Е.Н.Приступа - М.:НИЦ ИНФРА-М,2026 - 159 с.(п)</t>
  </si>
  <si>
    <t>СОЦИАЛЬНАЯ РАБОТА С ЛИЦАМИ С ОГРАНИЧЕННЫМИ ВОЗМОЖНОСТЯМИ ЗДОРОВЬЯ</t>
  </si>
  <si>
    <t>Приступа Е.Н.</t>
  </si>
  <si>
    <t>978-5-16-016386-4</t>
  </si>
  <si>
    <t>Рекомендовано в качестве учебного пособия для студентов учебных заведений, реализующих программу среднего профессионального образования по специальности 39.02.01 «Социальная работа»</t>
  </si>
  <si>
    <t>Институт развития, здоровья и адаптации ребенка</t>
  </si>
  <si>
    <t>833331.03.01</t>
  </si>
  <si>
    <t>Специальная техника правоохран. органов: Уч.пос. / В.В.Горовой - М.:НИЦ ИНФРА-М,2026. - 337 с.(СПО)(п)</t>
  </si>
  <si>
    <t>СПЕЦИАЛЬНАЯ ТЕХНИКА ПРАВООХРАНИТЕЛЬНЫХ ОРГАНОВ</t>
  </si>
  <si>
    <t>Горовой В.В., Горовая Е.Ю.</t>
  </si>
  <si>
    <t>978-5-16-020034-7</t>
  </si>
  <si>
    <t>118500.15.01</t>
  </si>
  <si>
    <t>Справочник монтажника водяных тепловых сетей: Уч.пос. / В.И.Краснов - М.:НИЦ ИНФРА-М,2026 - 334 с.(СПО)(п)</t>
  </si>
  <si>
    <t>СПРАВОЧНИК МОНТАЖНИКА ВОДЯНЫХ ТЕПЛОВЫХ СЕТЕЙ</t>
  </si>
  <si>
    <t>Краснов В. И.</t>
  </si>
  <si>
    <t>978-5-16-010796-7</t>
  </si>
  <si>
    <t>08.02.13</t>
  </si>
  <si>
    <t>Рекомендовано Федеральным агентством по строительству и жилищно-коммунальному хозяйству в качестве учебного пособия для студентов средних специальных строительных учебных заведений, обучающихся по специальности «Теплогазоснабжение и вентиляция»</t>
  </si>
  <si>
    <t>458850.11.01</t>
  </si>
  <si>
    <t>Справочник по эксплуатации электроустановок..: Уч.пос. / Ю.Д.Сибикин - 7 изд. - Форум:ИНФРА-М,2025-400с(п)</t>
  </si>
  <si>
    <t>СПРАВОЧНИК ПО ЭКСПЛУАТАЦИИ ЭЛЕКТРОУСТАНОВОК ПРОМЫШЛЕННЫХ ПРЕДПРИЯТИЙ, ИЗД.7</t>
  </si>
  <si>
    <t>Сибикин Ю. Д., Сибикин М. Ю.</t>
  </si>
  <si>
    <t>978-5-91134-844-1</t>
  </si>
  <si>
    <t>00.02.39, 08.02.09, 11.01.02, 11.01.05, 11.02.16, 13.01.07, 13.01.10, 13.02.07, 13.02.09, 13.02.12, 13.02.13, 18.01.28, 21.01.15, 26.01.05, 26.02.04, 26.02.05, 26.02.06, 35.01.15</t>
  </si>
  <si>
    <t>0714</t>
  </si>
  <si>
    <t>273600.17.01</t>
  </si>
  <si>
    <t>Справочник техника-сварщика: Уч.пос. / В.В.Овчинников - М.:НИЦ ИНФРА-М,2026. - 304 с.(СПО)(п)</t>
  </si>
  <si>
    <t>СПРАВОЧНИК ТЕХНИКА-СВАРЩИКА</t>
  </si>
  <si>
    <t>978-5-16-021148-0</t>
  </si>
  <si>
    <t>15.01.05, 15.01.06, 15.01.07, 15.01.29, 15.02.16, 15.02.19, 26.01.01</t>
  </si>
  <si>
    <t>670735.07.01</t>
  </si>
  <si>
    <t>Справочник электрика по ремонту электрооборуд... / М.Ю.Сибикин, - 2 изд. - М.:НИЦ ИНФРА-М,2026. - 262 с.(п)</t>
  </si>
  <si>
    <t>СПРАВОЧНИК ЭЛЕКТРИКА ПО РЕМОНТУ ЭЛЕКТРООБОРУДОВАНИЯ ПРОМЫШЛЕННЫХ ПРЕДПРИЯТИЙ, ИЗД.2</t>
  </si>
  <si>
    <t>Сибикин М.Ю.</t>
  </si>
  <si>
    <t>978-5-16-017615-4</t>
  </si>
  <si>
    <t>00.02.39, 08.02.09, 11.01.02, 11.01.05, 11.01.06, 11.01.07, 11.02.14, 11.02.16, 12.02.04, 13.01.07, 13.01.10, 13.02.07, 13.02.09, 13.02.12, 13.02.13, 18.01.28, 21.01.15, 26.01.05, 26.02.04, 26.02.05, 26.02.06, 35.01.15</t>
  </si>
  <si>
    <t>646045.11.01</t>
  </si>
  <si>
    <t>Справочник электромонтажника: Уч.пос. / Ю.Д.Сибикин - 6 изд. - М.:НИЦ ИНФРА-М,2025 - 412 с.(СПО)(П)</t>
  </si>
  <si>
    <t>СПРАВОЧНИК ЭЛЕКТРОМОНТАЖНИКА, ИЗД.6</t>
  </si>
  <si>
    <t>978-5-16-012526-8</t>
  </si>
  <si>
    <t>08.01.22, 08.01.23, 08.01.30, 08.01.31, 13.02.12, 15.01.37, 15.02.07, 15.02.17, 23.01.03, 23.01.11, 23.01.13, 23.01.18, 23.02.06, 27.02.03, 27.02.05</t>
  </si>
  <si>
    <t>Рекомендовано федеральным государственным автономным учреждением «Федеральный институт развития образования» (ФГАУ «ФИРО») в качестве учебного пособия для использования в учебном процессе образовательных учреждений, реализующих программы начального профессионального образования</t>
  </si>
  <si>
    <t>0617</t>
  </si>
  <si>
    <t>077160.20.01</t>
  </si>
  <si>
    <t>Справочное пос. по электрооборуд. и электроснаб.: Уч.пос. / В.П.Шеховцов - 3 изд. - М.:НИЦ ИНФРА-М,2025 - 136 с.(О)</t>
  </si>
  <si>
    <t>СПРАВОЧНОЕ ПОСОБИЕ ПО ЭЛЕКТРООБОРУДОВАНИЮ И ЭЛЕКТРОСНАБЖЕНИЮ, ИЗД.3</t>
  </si>
  <si>
    <t>978-5-16-013424-6</t>
  </si>
  <si>
    <t>08.02.01, 11.02.15, 13.02.07, 13.02.12, 13.02.13</t>
  </si>
  <si>
    <t>Допущено Министерством образования и науки Российской Федерации для студентов учреждений среднего профессионального образования, обучающихся по специальности 13.02.11 «Техническая эксплуатация и обслуживание электрического и электромеханического оборудования»</t>
  </si>
  <si>
    <t>683126.02.01</t>
  </si>
  <si>
    <t>Стандартизация, метрология и подтверждение соответствия: Уч. / М.А.Николаева - 3 изд.-М.:НИЦ ИНФРА-М,2022-297 с.(П)</t>
  </si>
  <si>
    <t>СТАНДАРТИЗАЦИЯ, МЕТРОЛОГИЯ И ПОДТВЕРЖДЕНИЕ СООТВЕТСТВИЯ, ИЗД.3</t>
  </si>
  <si>
    <t>978-5-16-017008-4</t>
  </si>
  <si>
    <t>11.02.16, 38.02.08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</si>
  <si>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экономическим специальностям (протокол № 12 от 14.12.2020)</t>
  </si>
  <si>
    <t>703554.08.01</t>
  </si>
  <si>
    <t>Стандартизация, сертификация и упр. качест..: Уч.пос. / Т.Н.Ананьева. - М.:НИЦ ИНФРА-М,2026 - 232 с.(СПО)(П)</t>
  </si>
  <si>
    <t>СТАНДАРТИЗАЦИЯ, СЕРТИФИКАЦИЯ И УПРАВЛЕНИЕ КАЧЕСТВОМ ПРОГРАММНОГО ОБЕСПЕЧЕНИЯ</t>
  </si>
  <si>
    <t>Ананьева Т.Н., Новикова Н.Г., Исаев Г.Н.</t>
  </si>
  <si>
    <t>978-5-16-014887-8</t>
  </si>
  <si>
    <t>09.02.01, 09.02.02, 09.02.03, 09.02.04, 09.02.05, 09.02.06, 09.02.07</t>
  </si>
  <si>
    <t>721001.04.01</t>
  </si>
  <si>
    <t>Стандарты информац. безоп. Защита и обработка...: Уч.пос. / Ю.Н.Сычев, - 2 изд.-М.:НИЦ ИНФРА-М,2024.-602 с.(п)</t>
  </si>
  <si>
    <t>СТАНДАРТЫ ИНФОРМАЦИОННОЙ БЕЗОПАСНОСТИ. ЗАЩИТА И ОБРАБОТКА КОНФИДЕНЦИАЛЬНЫХ ДОКУМЕНТОВ, ИЗД.2</t>
  </si>
  <si>
    <t>978-5-16-018253-7</t>
  </si>
  <si>
    <t>10.02.01, 10.02.02, 10.02.03, 10.02.04, 10.02.05, 51.02.03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</si>
  <si>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10.02.00 «Информационная безопасность» (протокол № 12 от 24.06.2019)</t>
  </si>
  <si>
    <t>721001.05.01</t>
  </si>
  <si>
    <t>Стандарты информац. безопас. Защита и обработка..: Уч.пос. / Ю.Н.Сычев - М.:НИЦ ИНФРА-М,2023 - 223 с.(П)</t>
  </si>
  <si>
    <t>СТАНДАРТЫ ИНФОРМАЦИОННОЙ БЕЗОПАСНОСТИ. ЗАЩИТА И ОБРАБОТКА КОНФИДЕНЦИАЛЬНЫХ ДОКУМЕНТОВ</t>
  </si>
  <si>
    <t>978-5-16-015718-4</t>
  </si>
  <si>
    <t>684801.07.01</t>
  </si>
  <si>
    <t>Станочные приспособления: Уч. / В.В.Клепиков и др. - М.:Форум, НИЦ ИНФРА-М,2026 - 319 с.(СПО)(П)</t>
  </si>
  <si>
    <t>СТАНОЧНЫЕ ПРИСПОСОБЛЕНИЯ</t>
  </si>
  <si>
    <t>978-5-00091-583-7</t>
  </si>
  <si>
    <t>15.02.04, 15.02.07, 15.02.16, 15.02.18, 27.02.01, 27.02.02, 27.02.07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</si>
  <si>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15.02.08 «Технология машиностроения», 15.02.07 «Автоматизация технологических процессов и производств (по отраслям)»</t>
  </si>
  <si>
    <t>689284.04.01</t>
  </si>
  <si>
    <t>Статистика природопользования: Уч.пос. / Л.И.Егоренков - М.:Форум, НИЦ ИНФРА-М,2025. - 174 с.(СПО)(П)</t>
  </si>
  <si>
    <t>СТАТИСТИКА ПРИРОДОПОЛЬЗОВАНИЯ</t>
  </si>
  <si>
    <t>978-5-00091-617-9</t>
  </si>
  <si>
    <t>05.02.02, 05.02.03, 20.02.01, 20.02.03, 20.02.04, 38.02.01, 38.02.02, 38.02.08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</si>
  <si>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05.02.00 «Науки о Земле»</t>
  </si>
  <si>
    <t>711186.02.01</t>
  </si>
  <si>
    <t>Статистика туризма: Уч.пос. / А.В.Панова - М.:НИЦ ИНФРА-М,2021 - 248 с.-(СПО)(П)</t>
  </si>
  <si>
    <t>СТАТИСТИКА ТУРИЗМА</t>
  </si>
  <si>
    <t>Панова А.В.</t>
  </si>
  <si>
    <t>978-5-16-015326-1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</si>
  <si>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43.02.10 «Туризм», 43.02.14 «Гостиничное дело» (протокол № 5 от 11.03.2019)</t>
  </si>
  <si>
    <t>112190.13.01</t>
  </si>
  <si>
    <t>Статистика. Краткий курс лекций..: Уч.пос. / Е.М.Мусина - 2 изд. - М.:Форум, НИЦ ИНФРА-М,2024. - 72 с.(СПО)(О)</t>
  </si>
  <si>
    <t>СТАТИСТИКА. КРАТКИЙ КУРС ЛЕКЦИЙ И ТЕСТОВЫЕ ЗАДАНИЯ, ИЗД.2</t>
  </si>
  <si>
    <t>Мусина Е.М.</t>
  </si>
  <si>
    <t>978-5-00091-747-3</t>
  </si>
  <si>
    <t>842470.01.01</t>
  </si>
  <si>
    <t>Статистика: Уч. / В.В.Глинский - 5 изд. - М.:НИЦ ИНФРА-М,2025. - 372 с.(СПО)(п)</t>
  </si>
  <si>
    <t>СТАТИСТИКА, ИЗД.5</t>
  </si>
  <si>
    <t>Глинский В.В., Серга Л.К., Ионин В.Г. и др.</t>
  </si>
  <si>
    <t>978-5-16-020348-5</t>
  </si>
  <si>
    <t>38.02.03, 38.02.06</t>
  </si>
  <si>
    <t>072660.18.01</t>
  </si>
  <si>
    <t>Статистика: Уч. / И.И.Сергеева - 2 изд. - М.:ИД ФОРУМ,НИЦ ИНФРА-М,2024 - 304 с.-(СПО)(П)</t>
  </si>
  <si>
    <t>СТАТИСТИКА, ИЗД.2</t>
  </si>
  <si>
    <t>Сергеева И. И., Чекулина Т. А., Тимофеева С. А.</t>
  </si>
  <si>
    <t>978-5-8199-0888-4</t>
  </si>
  <si>
    <t>31.02.01, 51.02.03</t>
  </si>
  <si>
    <t>842943.01.01</t>
  </si>
  <si>
    <t>Стилистика служебных документов: Уч.пос. / Т.Н.Зайцева - М.:НИЦ ИНФРА-М,2025. - 254 с.(СПО))(п)</t>
  </si>
  <si>
    <t>СТИЛИСТИКА СЛУЖЕБНЫХ ДОКУМЕНТОВ</t>
  </si>
  <si>
    <t>Зайцева Т.Н., Ковина Т.П.</t>
  </si>
  <si>
    <t>978-5-16-020369-0</t>
  </si>
  <si>
    <t>10.02.01, 46.01.01, 51.02.03</t>
  </si>
  <si>
    <t>Московский государственный лингвистический университет</t>
  </si>
  <si>
    <t>777081.04.01</t>
  </si>
  <si>
    <t>Страхование: Уч.пос. / Ю.А.Сплетухов, - 2 изд.-М.:НИЦ ИНФРА-М,2024.-357 с.(СПО)(П)</t>
  </si>
  <si>
    <t>СТРАХОВАНИЕ, ИЗД.2</t>
  </si>
  <si>
    <t>Сплетухов Ю.А., Дюжиков Е.Ф.</t>
  </si>
  <si>
    <t>978-5-16-017747-2</t>
  </si>
  <si>
    <t>38.02.02, 38.02.07, 42.02.02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</si>
  <si>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38.02.02 «Страховое дело (по отраслям)» (протокол № 2 от 09.02.2022)</t>
  </si>
  <si>
    <t>057200.13.01</t>
  </si>
  <si>
    <t>Строительные конструкции. Расчет и проектир.: Уч. / В.И.Сетков- 3-изд.-М.:НИЦ ИНФРА-М,2017-444с(П)</t>
  </si>
  <si>
    <t>СТРОИТЕЛЬНЫЕ КОНСТРУКЦИИ. РАСЧЕТ И ПРОЕКТИРОВАНИЕ, ИЗД.3</t>
  </si>
  <si>
    <t>Сетков В.И., Сербин Е.П.</t>
  </si>
  <si>
    <t>978-5-16-003989-3</t>
  </si>
  <si>
    <t>08.02.01, 08.02.02, 08.02.03, 08.02.15, 35.02.12</t>
  </si>
  <si>
    <t>Пермский государственный профессионально-педагогический колледж</t>
  </si>
  <si>
    <t>057200.24.01</t>
  </si>
  <si>
    <t>Строительные конструкции. Расчет и проектир.: Уч. / Е.П.Сербин, - 4 изд. - М.:НИЦ ИНФРА-М,2026. - 447 с.(П)</t>
  </si>
  <si>
    <t>СТРОИТЕЛЬНЫЕ КОНСТРУКЦИИ. РАСЧЕТ И ПРОЕКТИРОВАНИЕ, ИЗД.4</t>
  </si>
  <si>
    <t>Сербин Е.П., Сетков В.И.</t>
  </si>
  <si>
    <t>978-5-16-015382-7</t>
  </si>
  <si>
    <t>Санкт-Петербургский техникум отраслевых технологий, финансов и права</t>
  </si>
  <si>
    <t>073930.17.01</t>
  </si>
  <si>
    <t>Строительные конструкции: Уч.пос. / Е.П.Сербин - М.:ИЦ РИОР, НИЦ ИНФРА-М,2026 - 236 с.(СПО)(о)</t>
  </si>
  <si>
    <t>СТРОИТЕЛЬНЫЕ КОНСТРУКЦИИ</t>
  </si>
  <si>
    <t>978-5-369-00011-3</t>
  </si>
  <si>
    <t>08.02.01, 08.02.02, 35.02.12</t>
  </si>
  <si>
    <t>Допущено Госстроем России в качестве учебного пособия для студентов средних специальных учебных заведений, обучающихся по специальности 2902 "Строительство и эксплуатация зданий и сооружений"</t>
  </si>
  <si>
    <t>707352.09.01</t>
  </si>
  <si>
    <t>Строительные материалы: Уч.пос. / П.С.Красовский - М., НИЦ ИНФРА-М,2026 - 256 с.(СПО)(П)</t>
  </si>
  <si>
    <t>СТРОИТЕЛЬНЫЕ МАТЕРИАЛЫ</t>
  </si>
  <si>
    <t>Красовский П.С.</t>
  </si>
  <si>
    <t>978-5-16-021277-7</t>
  </si>
  <si>
    <t>07.02.01, 08.01.27, 08.01.28, 08.02.01, 08.02.02, 08.02.08, 08.02.12, 08.02.13, 08.02.14, 23.02.08, 35.02.12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</si>
  <si>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08.02.00 «Техника и технологии строительства» (протокол № 3 от 17.02.2020)</t>
  </si>
  <si>
    <t>Дальневосточный государственный университет путей сообщения</t>
  </si>
  <si>
    <t>687867.13.01</t>
  </si>
  <si>
    <t>Строительные машины: Уч. / А.И.Доценко - М.:НИЦ ИНФРА-М,2026 - 533 с.-(СПО)(П)</t>
  </si>
  <si>
    <t>СТРОИТЕЛЬНЫЕ МАШИНЫ</t>
  </si>
  <si>
    <t>Доценко А.И., Дронов В.Г.</t>
  </si>
  <si>
    <t>978-5-16-014250-0</t>
  </si>
  <si>
    <t>08.01.27, 08.01.28, 08.01.30, 08.02.01, 08.02.02, 08.02.03, 08.02.04, 08.02.09, 08.02.12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</si>
  <si>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УГС 08.02.00 «Строительство»</t>
  </si>
  <si>
    <t>703455.06.01</t>
  </si>
  <si>
    <t>Строительство городских объектов озеленения: Уч. / М.М.Фатиев - М.:Форум,НИЦ ИНФРА-М,2025 - 205 с.(СПО)(П)</t>
  </si>
  <si>
    <t>СТРОИТЕЛЬСТВО ГОРОДСКИХ ОБЪЕКТОВ ОЗЕЛЕНЕНИЯ</t>
  </si>
  <si>
    <t>Фатиев М.М.</t>
  </si>
  <si>
    <t>978-5-00091-662-9</t>
  </si>
  <si>
    <t>07.02.01, 35.02.12</t>
  </si>
  <si>
    <t>Рекомендовано Учебно-методическим объединением по образованию в области лесного дела по специальности «Садово-парковое и ландшафтное строительство»</t>
  </si>
  <si>
    <t>080250.18.01</t>
  </si>
  <si>
    <t>Строительство, реконструкция и ремонт водопровод...: Уч.пос. / В.А.Орлов - М.:НИЦ ИНФРА-М,2025-221с(П)</t>
  </si>
  <si>
    <t>СТРОИТЕЛЬСТВО, РЕКОНСТРУКЦИЯ И РЕМОНТ ВОДОПРОВОДНЫХ И ВОДООТВОДЯЩИХ СЕТЕЙ БЕСТРАНШЕЙНЫМИ МЕТОДАМИ</t>
  </si>
  <si>
    <t>Орлов В.А., Орлов Е.В.</t>
  </si>
  <si>
    <t>978-5-16-012603-6</t>
  </si>
  <si>
    <t>08.01.29, 08.02.02, 08.02.04, 08.02.14, 18.01.27, 19.01.01</t>
  </si>
  <si>
    <t>Допущено Федеральным агентством по строительству и жилищно-коммунальному хозяйству в качестве учебного пособия для студентов средних специальных учебных заведений, обучающихся по направлению (специальности) 08.02.04 «Водоснабжение и водоотведение»</t>
  </si>
  <si>
    <t>706118.02.01</t>
  </si>
  <si>
    <t>Структура и функции Центр. банка РФ: Уч. / А.А.Казимагомедов - М.:НИЦ ИНФРА-М,2023 - 204 с.(СПО)(П)</t>
  </si>
  <si>
    <t>СТРУКТУРА И ФУНКЦИИ ЦЕНТРАЛЬНОГО БАНКА РОССИЙСКОЙ ФЕДЕРАЦИИ</t>
  </si>
  <si>
    <t>978-5-16-015228-8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</si>
  <si>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38.02.06 «Финансы», 38.02.07 «Банковское дело» (протокол № 19 от 09.12.2019)</t>
  </si>
  <si>
    <t>161800.15.01</t>
  </si>
  <si>
    <t>Тактика мед. сестры при неотложных...: Уч.пос. / В.Г.Лычев - 3 изд. - М.:НИЦ ИНФРА-М,2026. - 318 с.(П)</t>
  </si>
  <si>
    <t>ТАКТИКА МЕДИЦИНСКОЙ СЕСТРЫ ПРИ НЕОТЛОЖНЫХ ЗАБОЛЕВАНИЯХ И СОСТОЯНИЯХ, ИЗД.3</t>
  </si>
  <si>
    <t>Лычев В.Г., Савельев В.М., Карманов В.К.</t>
  </si>
  <si>
    <t>978-5-16-014327-9</t>
  </si>
  <si>
    <t>Рекомендовано Методическим советом ГОУ ДПО «Учебно-методический центр по профессиональному образованию» Департамента образования города Москвы в качестве учебного пособия для студентов и учащихся образовательных учреждений среднего профессионального образования</t>
  </si>
  <si>
    <t>161800.06.01</t>
  </si>
  <si>
    <t>Тактика мед.сестры при неотложных...: Уч.пос./В.Г.Лычев-2изд.-М.:Форум,НИЦ ИНФРА-М,2018-352с.(ПО)(П)</t>
  </si>
  <si>
    <t>ТАКТИКА МЕДИЦИНСКОЙ СЕСТРЫ ПРИ НЕОТЛОЖНЫХ ЗАБОЛЕВАНИЯХ И СОСТОЯНИЯХ, ИЗД.2</t>
  </si>
  <si>
    <t>Лычев В. Г., Савельев В. М., Карманов В. К.</t>
  </si>
  <si>
    <t>978-5-00091-471-7</t>
  </si>
  <si>
    <t>Рекомендовано Методическим советом ГОУ ДПО Учебно-методический центр по профессиональному образованию Департамента образования города Москвы в качестве учебного пособия для студентов и учащихся образовательных учреждений среднего профессионального образования</t>
  </si>
  <si>
    <t>763266.07.01</t>
  </si>
  <si>
    <t>Тактико-специальная подготовка: Уч. / В.Л.Михайликов и др. - М.:НИЦ ИНФРА-М,2026 - 573 с.(СПО)(П)</t>
  </si>
  <si>
    <t>ТАКТИКО-СПЕЦИАЛЬНАЯ ПОДГОТОВКА</t>
  </si>
  <si>
    <t>Михайликов В.Л., Войнов П.Н., Тарасенко А.А. и др.</t>
  </si>
  <si>
    <t>978-5-16-017102-9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</si>
  <si>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40.02.02 «Правоохранительная деятельность» (протокол № 5 от 19.05.2021)</t>
  </si>
  <si>
    <t>682851.06.01</t>
  </si>
  <si>
    <t>Теоретические и метод. осн. физ.восп..: Уч.пос./Под ред.Козловой С.А.-2изд.-М.:НИЦ ИНФРА-М,2024-508(СПО)</t>
  </si>
  <si>
    <t>ТЕОРЕТИЧЕСКИЕ И МЕТОДИЧЕСКИЕ ОСНОВЫ ФИЗИЧЕСКОГО ВОСПИТАНИЯ И РАЗВИТИЯ ДЕТЕЙ РАННЕГО И ДОШКОЛЬНОГО ВОЗРАСТА, ИЗД.2</t>
  </si>
  <si>
    <t>Борисова М.М., Кожухова Н.Н., Рыжкова Л.А. и др.</t>
  </si>
  <si>
    <t>978-5-16-013905-0</t>
  </si>
  <si>
    <t>44.02.01, 49.02.01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</si>
  <si>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44.02.01 «Дошкольное образование», 44.02.03 «Педагогика дополнительного образования», 44.02.04 «Специальное дошкольное образование»</t>
  </si>
  <si>
    <t>147100.08.01</t>
  </si>
  <si>
    <t>Теоретические основы разработки и моделир..: Уч.пос. /А.М.Афонин -М.:Форум:ИНФРА-М,2024 -192с(СПО)(П)</t>
  </si>
  <si>
    <t>ТЕОРЕТИЧЕСКИЕ ОСНОВЫ РАЗРАБОТКИ И МОДЕЛИРОВАНИЯ СИСТЕМ АВТОМАТИЗАЦИИ</t>
  </si>
  <si>
    <t>Афонин А.М., Царегородцев Ю.Н., Петрова А.М. и др.</t>
  </si>
  <si>
    <t>978-5-00091-678-0</t>
  </si>
  <si>
    <t>15.01.26, 15.01.27, 15.01.35, 15.01.36, 15.01.38, 15.02.07, 15.02.09, 15.02.10, 15.02.16, 15.02.18</t>
  </si>
  <si>
    <t>754376.01.01</t>
  </si>
  <si>
    <t>Теоретические основы товароведения: Уч. / С.И.Жулидов - М.:НИЦ ИНФРА-М,2025. - 213 с.(СПО)(п)</t>
  </si>
  <si>
    <t>ТЕОРЕТИЧЕСКИЕ ОСНОВЫ ТОВАРОВЕДЕНИЯ</t>
  </si>
  <si>
    <t>978-5-16-017796-0</t>
  </si>
  <si>
    <t>19.01.18, 19.01.19, 19.02.10, 19.02.13, 38.02.01, 38.02.08, 43.01.01, 43.01.04, 43.01.09, 43.02.15, 43.02.16</t>
  </si>
  <si>
    <t>035580.30.01</t>
  </si>
  <si>
    <t>Теоретические основы электротехники: Уч. / Е.А.Лоторейчук - М.:ИД ФОРУМ, НИЦ ИНФРА-М,2026 - 317с(СПО)(П)</t>
  </si>
  <si>
    <t>ТЕОРЕТИЧЕСКИЕ ОСНОВЫ ЭЛЕКТРОТЕХНИКИ</t>
  </si>
  <si>
    <t>978-5-8199-0764-1</t>
  </si>
  <si>
    <t>00.02.39, 08.02.04, 08.02.08, 08.02.12, 08.02.13, 11.02.06, 11.02.15, 12.02.10, 13.02.02, 13.02.07, 13.02.08, 13.02.12, 13.02.13, 15.02.01, 15.02.03, 15.02.06, 15.02.09, 15.02.10, 15.02.17, 15.02.19, 18.02.04, 19.02.14, 21.02.03, 23.02.03, 23.02.05, 23.02.07, 24.02.02, 25.02.02, 26.02.04, 26.02.05, 29.02.11, 35.02.08, 35.02.16</t>
  </si>
  <si>
    <t>Допущено Министерством образования и науки Российской Федерации в качестве учебника для студентов учреждений среднего профессионального образования, обучающихся по специальностям технического профиля</t>
  </si>
  <si>
    <t>068200.09.01</t>
  </si>
  <si>
    <t>Теория бухгалтерского учета: Уч. / В.И. Щербакова. - М.: ИД ФОРУМ:НИЦ ИНФРА-М, 2024 - 352 с.(ПО) (п)</t>
  </si>
  <si>
    <t>ТЕОРИЯ БУХГАЛТЕРСКОГО УЧЕТА</t>
  </si>
  <si>
    <t>Щербакова В.И.</t>
  </si>
  <si>
    <t>978-5-8199-0229-5</t>
  </si>
  <si>
    <t>Допущено Министерством образования РФ в качестве учебника для студентов образовательных учреждений среднего профессионального образования обучающихся по группе специальностей "Экономика и управление"</t>
  </si>
  <si>
    <t>028438.18.01</t>
  </si>
  <si>
    <t>Теория бухгалтерского учета: Уч./ И.Е. Мизиковский - 2 изд. - М.: Магистр: ИНФРА-М, 2024. - 384 с.</t>
  </si>
  <si>
    <t>ТЕОРИЯ БУХГАЛТЕРСКОГО УЧЕТА, ИЗД.2</t>
  </si>
  <si>
    <t>Мизиковский И. Е., Кемаева С. А., Ясенев В. Н., Мизиковский Е. А., Мельник М. В.</t>
  </si>
  <si>
    <t>978-5-9776-0088-0</t>
  </si>
  <si>
    <t>Допущено Мин. обр. и науки РФ в качестве учебника для студентов учреждений среднего профессионального образования, обучающихся по финансово-экономическим специальностям</t>
  </si>
  <si>
    <t>719853.02.01</t>
  </si>
  <si>
    <t>Теория вероятностей и матем. статистика: Уч. / Е.А.Коган-М.:НИЦ ИНФРА-М,2024.-250 с.(СПО)(П)</t>
  </si>
  <si>
    <t>ТЕОРИЯ ВЕРОЯТНОСТЕЙ И МАТЕМАТИЧЕСКАЯ СТАТИСТИКА</t>
  </si>
  <si>
    <t>Коган Е.А., Юрченко А.А.</t>
  </si>
  <si>
    <t>978-5-16-015649-1</t>
  </si>
  <si>
    <t>10.02.05, 21.02.02, 21.02.09, 21.02.10, 21.02.19, 21.02.20, 35.02.09, 35.02.10, 35.02.11, 35.02.17, 38.02.06, 43.02.06, 43.02.07, 49.02.02, 51.02.03, 52.02.01, 52.02.02, 53.02.02, 53.02.03, 53.02.04, 53.02.05, 53.02.07, 53.02.09, 54.02.01, 54.02.03, 49.02.03, 09.02.10, 35.02.19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</si>
  <si>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гуманитарным и естественно-научным специальностям (протокол № 12 от 24.06.2019)</t>
  </si>
  <si>
    <t>720909.01.01</t>
  </si>
  <si>
    <t>Теория вероятностей и матем. статистика:Уч.пос. / Матвеев В.И. - 2 изд. -М.:НИЦ ИНФРА-М,2020-289с.(П)</t>
  </si>
  <si>
    <t>ТЕОРИЯ ВЕРОЯТНОСТЕЙ И МАТЕМАТИЧЕСКАЯ СТАТИСТИКА, ИЗД.2</t>
  </si>
  <si>
    <t>Бирюкова Л.Г., Бобрик Г.И., Сагитов Р.В. и др.</t>
  </si>
  <si>
    <t>978-5-16-015712-2</t>
  </si>
  <si>
    <t>08.02.15, 11.02.03, 11.02.06, 13.02.07, 13.02.12, 15.02.03, 15.02.10, 15.02.16, 15.02.17, 15.02.18, 18.02.04, 18.02.10, 18.02.14, 18.02.15, 20.02.01, 21.02.02, 21.02.09, 21.02.10, 21.02.19, 21.02.20, 24.02.01, 24.02.02, 25.02.09, 35.02.09, 35.02.16, 35.02.17, 09.02.10, 35.02.19</t>
  </si>
  <si>
    <t>110850.22.01</t>
  </si>
  <si>
    <t>Теория государства и права: Уч. / А.В. Малько - М.: Норма: НИЦ ИНФРА-М, 2026. - 432 с. (Ab ovo) (П)</t>
  </si>
  <si>
    <t>ТЕОРИЯ ГОСУДАРСТВА И ПРАВА</t>
  </si>
  <si>
    <t>Малько А. В., Нырков В. В., Шундиков К. В.</t>
  </si>
  <si>
    <t>978-5-91768-425-3</t>
  </si>
  <si>
    <t>Институт государства и права Российской академии наук</t>
  </si>
  <si>
    <t>845233.01.01</t>
  </si>
  <si>
    <t>Теория государства и права: Уч. / И.Л.Честнов - М.:НИЦ ИНФРА-М,2025. - 165 с.(СПО)(п)</t>
  </si>
  <si>
    <t>Честнов И.Л.</t>
  </si>
  <si>
    <t>978-5-16-020575-5</t>
  </si>
  <si>
    <t>Рекомендовано в качестве учебника для студентов высших учебных заведений, обучающихся по направлениям подготовки 40.03.01 «Юриспруденция» (квалификация (степень) «бакалавр»)</t>
  </si>
  <si>
    <t>Университет прокуратуры Российской Федерации, ф-л Санкт-Петербургский юридический институт</t>
  </si>
  <si>
    <t>839636.01.01</t>
  </si>
  <si>
    <t>Теория государства и права: Уч. / К.Р.Мурсалимов, - 5 изд. - М.:НИЦ ИНФРА-М,2025. - 623 с.(СПО)(п)</t>
  </si>
  <si>
    <t>ТЕОРИЯ ГОСУДАРСТВА И ПРАВА, ИЗД.5</t>
  </si>
  <si>
    <t>Мурсалимов К.Р., Хабибулин А.Г.</t>
  </si>
  <si>
    <t>978-5-16-020248-8</t>
  </si>
  <si>
    <t>Московский государственный университет им. М.В. Ломоносова</t>
  </si>
  <si>
    <t>683129.06.01</t>
  </si>
  <si>
    <t>Теория государства и права: Уч. / М.Б.Смоленский - М.:НИЦ ИНФРА-М,2023 - 272 с.-(СПО)(П)</t>
  </si>
  <si>
    <t>978-5-16-014006-3</t>
  </si>
  <si>
    <t>858436.01.01</t>
  </si>
  <si>
    <t>Теория государства и права: Уч. для СПО / Л.П.Рассказов - М.:ИЦ РИОР, НИЦ ИНФРА-М,2025. - 303 с.(п)</t>
  </si>
  <si>
    <t>Рассказов Л.П., Рассказов В.Л.</t>
  </si>
  <si>
    <t>978-5-369-01992-4</t>
  </si>
  <si>
    <t>845366.01.01</t>
  </si>
  <si>
    <t>Теория государства и права: Уч.пос. / А.В.Попова - М.:НИЦ ИНФРА-М,2025 - 365 с.-(СПО)(п)</t>
  </si>
  <si>
    <t>Попова А.В.</t>
  </si>
  <si>
    <t>978-5-16-020467-3</t>
  </si>
  <si>
    <t>770332.01.01</t>
  </si>
  <si>
    <t>Теория государства и права: Уч.пос. / Е.Ю.Калинина - М.:НИЦ ИНФРА-М,2024 - 343 с.(СПО)(п)</t>
  </si>
  <si>
    <t>Калинина Е.Ю.</t>
  </si>
  <si>
    <t>978-5-16-017665-9</t>
  </si>
  <si>
    <t>834606.03.01</t>
  </si>
  <si>
    <t>Теория и метод.ознакомл. дош. с соц. миром: Уч. / С.А.Козлова - М.:НИЦ ИНФРА-М,2026 - 146 с.(СПО)(о)</t>
  </si>
  <si>
    <t>ТЕОРИЯ И МЕТОДИКА ОЗНАКОМЛЕНИЯ ДОШКОЛЬНИКОВ С СОЦИАЛЬНЫМ МИРОМ</t>
  </si>
  <si>
    <t>Козлова С.А., Кожокарь С.В., Шукшина С.Е. и др.</t>
  </si>
  <si>
    <t>978-5-16-020296-9</t>
  </si>
  <si>
    <t>734794.07.01</t>
  </si>
  <si>
    <t>Теория и методика восп. и обуч. детей раннего и...: Уч. / С.А.Козлова. - М.:НИЦ ИНФРА-М,2026. - 236 с.(П)</t>
  </si>
  <si>
    <t>ТЕОРИЯ И МЕТОДИКА ВОСПИТАНИЯ И ОБУЧЕНИЯ ДЕТЕЙ РАННЕГО И ДОШКОЛЬНОГО ВОЗРАСТА</t>
  </si>
  <si>
    <t>Козлова С.А., Шахманова А.Ш., Полосухина Е.О. и др.</t>
  </si>
  <si>
    <t>978-5-16-016153-2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</si>
  <si>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44.02.01 «Дошкольное образование» (протокол № 19 от 09.12.2019)</t>
  </si>
  <si>
    <t>786285.02.01</t>
  </si>
  <si>
    <t>Теория и методика матем. развития детей дош...: Уч.пос. / М.Ю.Стожарова - М.:НИЦ ИНФРА-М,2025. - 242 с.(п)</t>
  </si>
  <si>
    <t>ТЕОРИЯ И МЕТОДИКА МАТЕМАТИЧЕСКОГО РАЗВИТИЯ ДЕТЕЙ ДОШКОЛЬНОГО ВОЗРАСТА</t>
  </si>
  <si>
    <t>Стожарова М.Ю.</t>
  </si>
  <si>
    <t>978-5-16-017902-5</t>
  </si>
  <si>
    <t>705354.04.01</t>
  </si>
  <si>
    <t>Теория сестринского дела: Уч. / Н.Н.Камынина - 2 изд. - М.:НИЦ ИНФРА-М,2025. - 214 с.(СПО)(п)</t>
  </si>
  <si>
    <t>ТЕОРИЯ СЕСТРИНСКОГО ДЕЛА, ИЗД.2</t>
  </si>
  <si>
    <t>Камынина Н.Н., Островская И.В., Пьяных А.В. и др.</t>
  </si>
  <si>
    <t>978-5-16-015034-5</t>
  </si>
  <si>
    <t>31.02.01, 31.02.02, 34.01.01, 34.02.01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</si>
  <si>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34.02.00 «Сестринское дело» (протокол № 5 от 11.03.2019)</t>
  </si>
  <si>
    <t>Первый Московский государственный медицинский университет им. И.М. Сеченова</t>
  </si>
  <si>
    <t>811541.01.01</t>
  </si>
  <si>
    <t>Теория электрич. цепей и электромагнит. поля: Сб. задач: Уч.пос. / Л.П.Гаврилов-М.:НИЦ ИНФРА-М,2024.-181 с.(СПО)(п)</t>
  </si>
  <si>
    <t>ТЕОРИЯ ЭЛЕКТРИЧЕСКИХ ЦЕПЕЙ И ЭЛЕКТРОМАГНИТНОГО ПОЛЯ: СБОРНИК ЗАДАЧ</t>
  </si>
  <si>
    <t>Гаврилов Л.П.</t>
  </si>
  <si>
    <t>978-5-16-018972-7</t>
  </si>
  <si>
    <t>10.02.04, 11.02.06, 11.02.09, 11.02.11, 11.02.15, 11.02.16, 11.02.18, 11.02.19, 13.02.07, 13.02.09, 13.02.13, 15.02.03, 15.02.06, 15.02.17</t>
  </si>
  <si>
    <t>Военная академия Ракетных войск стратегического назначения им. Петра Великого</t>
  </si>
  <si>
    <t>047370.17.01</t>
  </si>
  <si>
    <t>Теплоизоляционные материалы и конструкции: Уч. / Ю.Л.Бобров - 2 изд. - М.:ИНФРА-М,2025 - 266 с.(СПО)(П)</t>
  </si>
  <si>
    <t>ТЕПЛОИЗОЛЯЦИОННЫЕ МАТЕРИАЛЫ И КОНСТРУКЦИИ, ИЗД.2</t>
  </si>
  <si>
    <t>Бобров Ю. Л., Овчаренко Е. Г., Шойхет Б. М., Петухова Е. Ю.</t>
  </si>
  <si>
    <t>978-5-16-004089-9</t>
  </si>
  <si>
    <t>08.02.01, 08.02.02, 08.02.03, 08.02.04, 08.02.08, 08.02.09, 08.02.12, 08.02.13, 15.01.18, 23.02.08</t>
  </si>
  <si>
    <t>Допущено Гос. комитетом РФ по строительству и жилищно-коммунальному комплексу в кач. учеб. для студ. сред. спец. учеб. зав., обуч. по спец. 2902 "Строительство и эксплуатация зданий и сооружений" и 2508 "Производство тугоплавких и силикат. материал."</t>
  </si>
  <si>
    <t>407400.15.01</t>
  </si>
  <si>
    <t>Техника и искусство фотографии: Уч.пос. / А.В.Левкина  - 2 изд. - М.:НИЦ ИНФРА-М,2026 - 295 с.(П)(СПО)</t>
  </si>
  <si>
    <t>ТЕХНИКА И ИСКУССТВО ФОТОГРАФИИ, ИЗД.2</t>
  </si>
  <si>
    <t>Левкина А.В.</t>
  </si>
  <si>
    <t>978-5-16-013790-2</t>
  </si>
  <si>
    <t>54.01.20, 54.02.08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</si>
  <si>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 для реализации образовательных программ среднего профессионального образования (протокол № 10 от 27.05.2019)</t>
  </si>
  <si>
    <t>699505.01.01</t>
  </si>
  <si>
    <t>Технико-эконом.расчеты распред. электрич..: Уч.пос./В.Я.Хорольский.-М.:Форум,НИЦ ИНФРА-М,2023-96с (СПО)(О)</t>
  </si>
  <si>
    <t>ТЕХНИКО-ЭКОНОМИЧЕСКИЕ РАСЧЕТЫ РАСПРЕДЕЛИТЕЛЬНЫХ ЭЛЕКТРИЧЕСКИХ СЕТЕЙ</t>
  </si>
  <si>
    <t>Хорольский В.Я., Таранов М.А., Петров Д.В.</t>
  </si>
  <si>
    <t>978-5-00091-647-6</t>
  </si>
  <si>
    <t>13.01.10, 13.02.01, 13.02.07, 13.02.12, 26.02.04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</si>
  <si>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13.02.03 «Электрические станции, сети и системы», 13.02.07 «Электроснабжение (по отраслям)» (протокол № 4 от 13.04.2022)</t>
  </si>
  <si>
    <t>244200.11.01</t>
  </si>
  <si>
    <t>Техническая графика: Уч. / Е.А.Василенко - 2 изд. - М.:НИЦ ИНФРА-М,2026 - 334 с.-(СПО)(п)</t>
  </si>
  <si>
    <t>ТЕХНИЧЕСКАЯ ГРАФИКА, ИЗД.2</t>
  </si>
  <si>
    <t>Василенко Е.А., Чекмарев А.А.</t>
  </si>
  <si>
    <t>978-5-16-015724-5</t>
  </si>
  <si>
    <t>08.01.22, 08.01.23, 08.02.01, 08.02.04, 15.01.13, 15.01.17, 15.01.18, 15.01.22, 15.01.26, 15.01.29, 15.01.30, 15.01.35, 15.01.36, 15.01.37, 15.02.01, 15.02.03, 26.02.04</t>
  </si>
  <si>
    <t>Рекомендовано Федеральным государственным автономным учреждением «Федеральный институт развития образования» (ФГАУ «ФИРО») в качестве учебника для использования в учебном процессе образовательных учреждений, реализующих программы среднего профессионального образования по профессиям 15.01.26 «Токарь-универсал», 15.01.30 «Слесарь», 08.01.07 «Мастер общестроительных работ» (регистрационный номер рецензии № 430 от 17.10.2014 (ФГАУ «ФИРО»))</t>
  </si>
  <si>
    <t>244200.04.01</t>
  </si>
  <si>
    <t>Техническая графика: Уч. / Е.А.Василенко - М.:НИЦ ИНФРА-М,2019 - 271 с.-(СПО)(п)</t>
  </si>
  <si>
    <t>ТЕХНИЧЕСКАЯ ГРАФИКА</t>
  </si>
  <si>
    <t>978-5-16-005145-1</t>
  </si>
  <si>
    <t>717644.06.01</t>
  </si>
  <si>
    <t>Техническая механика. Курсовое проектир.: Уч.пос. / Д.Н.Бахарев - 2 изд. - М.:НИЦ ИНФРА-М,2026 - 236 с.(П)</t>
  </si>
  <si>
    <t>ТЕХНИЧЕСКАЯ МЕХАНИКА. КУРСОВОЕ ПРОЕКТИРОВАНИЕ, ИЗД.2</t>
  </si>
  <si>
    <t>Бахарев Д.Н., Добрицкий А.А., Вольвак С.Ф. и др.</t>
  </si>
  <si>
    <t>978-5-16-015658-3</t>
  </si>
  <si>
    <t>12.01.07, 13.01.03, 13.01.04, 13.01.10, 13.01.13, 13.01.14, 13.01.15, 18.01.06, 18.01.27, 18.01.28, 21.01.01, 21.01.02, 21.01.03, 21.01.04, 21.01.10, 21.01.15, 21.01.16, 22.01.04, 23.01.01, 23.01.18, 23.02.07, 26.01.01, 26.01.02, 26.01.03, 26.01.06, 26.01.09, 26.01.12, 26.01.13, 35.01.15, 35.01.27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</si>
  <si>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техническим специальностям (протокол № 14 от 30.09.2019)</t>
  </si>
  <si>
    <t>034630.15.01</t>
  </si>
  <si>
    <t>Техническая механика: Сб. тест. заданий: Уч.пос. / В.П.Олофинская - 2 изд. - М.:НИЦ ИНФРА-М,2026  - 132 с.(О)</t>
  </si>
  <si>
    <t>ТЕХНИЧЕСКАЯ МЕХАНИКА, ИЗД.2</t>
  </si>
  <si>
    <t>978-5-16-016753-4</t>
  </si>
  <si>
    <t>00.02.35, 12.01.07, 13.01.03, 13.01.04, 13.01.10, 13.01.13, 13.01.14, 13.01.15, 13.02.01, 13.02.07, 13.02.12, 13.02.13, 15.02.09, 15.02.16, 15.02.17, 15.02.18, 18.01.06, 18.01.27, 18.01.28, 21.01.01, 21.01.02, 21.01.03, 21.01.04, 21.01.10, 21.01.15, 21.01.16, 22.01.04, 23.01.01, 23.01.18, 23.02.07, 24.02.01, 25.02.06, 25.02.07, 25.02.08, 26.01.01, 26.01.02, 26.01.03, 26.01.06, 26.01.09, 26.01.12, 26.01.13, 26.02.04, 27.02.04, 27.02.07, 35.01.15, 35.02.16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</si>
  <si>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специальностям технического профиля</t>
  </si>
  <si>
    <t>109450.21.01</t>
  </si>
  <si>
    <t>Техническая механика: Уч. / Г.Г.Сафонова и др. - М.:НИЦ ИНФРА-М,2026 - 320 с.(СПО)(п)</t>
  </si>
  <si>
    <t>ТЕХНИЧЕСКАЯ МЕХАНИКА</t>
  </si>
  <si>
    <t>Сафонова Г. Г., Артюховская Т. Ю., Ермаков Д. А.</t>
  </si>
  <si>
    <t>978-5-16-012916-7</t>
  </si>
  <si>
    <t>00.02.35, 08.02.01, 08.02.02, 08.02.03, 08.02.04, 08.02.08, 08.02.09, 08.02.12, 08.02.13, 08.02.14, 13.02.01, 24.02.01, 26.02.04, 27.02.04, 27.02.07</t>
  </si>
  <si>
    <t>Допущено Федеральным агентством по строительству и жилищно-коммунальному хозяйству в качестве учебника для студентов средних специальных учебных заведений, обучающихся по строительным специальностям</t>
  </si>
  <si>
    <t>707076.10.01</t>
  </si>
  <si>
    <t>Техническая механика: Уч.пос. / В.Э.Завистовский - М.:НИЦ ИНФРА-М,2026 - 376 с.(СПО)(П)</t>
  </si>
  <si>
    <t>Завистовский В.Э.</t>
  </si>
  <si>
    <t>978-5-16-015256-1</t>
  </si>
  <si>
    <t>00.02.35, 12.01.07, 13.01.03, 13.01.04, 13.01.10, 13.01.13, 13.01.14, 13.01.15, 13.02.01, 18.01.06, 18.01.27, 18.01.28, 21.01.01, 21.01.02, 21.01.03, 21.01.04, 21.01.10, 21.01.15, 21.01.16, 22.01.04, 23.01.01, 23.01.18, 26.01.01, 26.01.02, 26.01.03, 26.01.06, 26.01.09, 26.01.12, 26.01.13, 27.02.04, 27.02.07, 35.01.15, 35.01.27</t>
  </si>
  <si>
    <t>757941.04.01</t>
  </si>
  <si>
    <t>Техническая микробиология продукции животновод.: Уч.пос. / О.Д.Сидоренко - 2 изд. - М.:НИЦ ИНФРА-М,2026. - 224 с.(П)</t>
  </si>
  <si>
    <t>ТЕХНИЧЕСКАЯ МИКРОБИОЛОГИЯ ПРОДУКЦИИ ЖИВОТНОВОДСТВА, ИЗД.2</t>
  </si>
  <si>
    <t>Сидоренко О.Д., Жукова Е.В.</t>
  </si>
  <si>
    <t>978-5-16-016944-6</t>
  </si>
  <si>
    <t>19.02.12, 36.01.02, 36.02.03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</si>
  <si>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19.02.07 «Технология молока и молочных продуктов», 19.02.08 «Технология мяса и мясных продуктов», 35.02.06 «Технология производства и переработки сельскохозяйственной продукции» (протокол № 11 от 09.11.2020)</t>
  </si>
  <si>
    <t>064900.28.01</t>
  </si>
  <si>
    <t>Техническая эксплуатация зданий и сооружений: Уч. / В.А.Комков - 2 изд. - М.:НИЦ ИНФРА-М,2026. - 338 с.(СПО)(п)</t>
  </si>
  <si>
    <t>ТЕХНИЧЕСКАЯ ЭКСПЛУАТАЦИЯ ЗДАНИЙ И СООРУЖЕНИЙ, ИЗД.2</t>
  </si>
  <si>
    <t>Комков В.А., Акимов В.Б., Тимахова Н.С.</t>
  </si>
  <si>
    <t>978-5-16-012361-5</t>
  </si>
  <si>
    <t>08.01.29, 08.02.01, 08.02.02, 08.02.04, 08.02.08, 08.02.09, 08.02.13, 08.02.14, 36.01.03</t>
  </si>
  <si>
    <t>715325.06.01</t>
  </si>
  <si>
    <t>Техническая эксплуатация зданий: Уч.пос. / В.М.Лебедев - М.:НИЦ ИНФРА-М,2025 - 359 с.-(СПО)(П)</t>
  </si>
  <si>
    <t>ТЕХНИЧЕСКАЯ ЭКСПЛУАТАЦИЯ ЗДАНИЙ</t>
  </si>
  <si>
    <t>Лебедев В.М.</t>
  </si>
  <si>
    <t>978-5-16-015457-2</t>
  </si>
  <si>
    <t>08.02.01, 08.02.02, 08.02.04, 08.02.08, 08.02.13, 08.02.14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</si>
  <si>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08.02.00 «Техника и технологии строительства» (протокол № 8 от 29.04.2019)</t>
  </si>
  <si>
    <t>709057.08.01</t>
  </si>
  <si>
    <t>Технические средства автоматизации и упр.: Уч.пос. / О.В.Шишов - М.:НИЦ ИНФРА-М,2026 - 396 с.(П)</t>
  </si>
  <si>
    <t>ТЕХНИЧЕСКИЕ СРЕДСТВА АВТОМАТИЗАЦИИ И УПРАВЛЕНИЯ</t>
  </si>
  <si>
    <t>978-5-16-015283-7</t>
  </si>
  <si>
    <t>13.02.12, 15.01.26, 15.01.27, 15.01.35, 15.01.36, 15.01.38, 15.02.03, 15.02.04, 15.02.07, 15.02.16, 15.02.17, 15.02.18, 26.02.06, 27.02.01, 27.02.02, 27.02.03, 27.02.04, 27.02.05, 35.02.08, 43.02.06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</si>
  <si>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15.02.00 «Машиностроение», 27.02.00 «Управление в технических системах», 13.02.00 «Электро- и теплоэнергетика» (протокол № 4 от 25.02.2019)</t>
  </si>
  <si>
    <t>640313.07.01</t>
  </si>
  <si>
    <t>Технические средства информатизации: Уч. / В.П.Зверева - М.:КУРС, НИЦ ИНФРА-М,2025. - 256 с.-(СПО)(П)</t>
  </si>
  <si>
    <t>ТЕХНИЧЕСКИЕ СРЕДСТВА ИНФОРМАТИЗАЦИИ</t>
  </si>
  <si>
    <t>978-5-906818-88-1</t>
  </si>
  <si>
    <t>09.02.02, 09.02.03, 09.02.04, 09.02.05, 10.02.01, 10.02.03, 10.02.05</t>
  </si>
  <si>
    <t>640607.07.01</t>
  </si>
  <si>
    <t>Технические средства информатизации: Уч. / В.П.Зверева - М.:КУРС,НИЦ ИНФРА-М,2024 - 248с.-(СПО)(П)</t>
  </si>
  <si>
    <t>978-5-906818-54-6</t>
  </si>
  <si>
    <t>08.01.30, 08.01.31, 08.02.12, 08.02.13, 08.02.14, 08.02.15, 09.01.04, 09.01.05, 09.02.02, 09.02.03, 09.02.04, 09.02.05, 09.02.06, 09.02.07, 10.02.01, 10.02.03, 10.02.05, 13.02.12, 18.02.10, 18.02.15, 19.02.11, 19.02.12, 19.02.14, 19.02.15, 21.02.02, 21.02.09, 24.02.01, 24.02.02, 29.02.10, 35.01.16, 35.01.30, 35.01.33, 35.02.01, 35.02.17, 38.02.08</t>
  </si>
  <si>
    <t>063650.12.01</t>
  </si>
  <si>
    <t>Технические средства информатизации: Уч. / Н.В.Максимов - 4 изд.-М.:Форум, НИЦ ИНФРА-М,2024.-608 с.(СПО)(п)</t>
  </si>
  <si>
    <t>ТЕХНИЧЕСКИЕ СРЕДСТВА ИНФОРМАТИЗАЦИИ, ИЗД.4</t>
  </si>
  <si>
    <t>Максимов Н. В., Партыка Т. Л., Попов И. И.</t>
  </si>
  <si>
    <t>978-5-91134-763-5</t>
  </si>
  <si>
    <t>09.01.04, 09.01.05, 09.02.01, 09.02.02, 09.02.03, 09.02.04, 09.02.05, 09.02.06, 09.02.07, 10.02.01, 10.02.02, 10.02.03, 10.02.04, 10.02.05</t>
  </si>
  <si>
    <t>Рекомендовано Министерством образования РФ в качестве учебника для студентов учреждений среднего профессионального образования, обучающихся по группе специальностей 2200 "Информатика  и вычислительная техника"</t>
  </si>
  <si>
    <t>115400.14.01</t>
  </si>
  <si>
    <t>Технические средства информатизации: Уч.пос. / Л.Г.Гагарина - 2 изд. - М.:НИЦ ИНФРА-М,2026 - 260 с.(П)</t>
  </si>
  <si>
    <t>ТЕХНИЧЕСКИЕ СРЕДСТВА ИНФОРМАТИЗАЦИИ, ИЗД.2</t>
  </si>
  <si>
    <t>Гагарина Л.Г., Золотухин Ф.С.</t>
  </si>
  <si>
    <t>978-5-16-016140-2</t>
  </si>
  <si>
    <t>09.01.04, 09.01.05, 09.02.01, 09.02.02, 09.02.03, 09.02.04, 09.02.05, 09.02.06, 09.02.07, 10.02.01, 10.02.03, 10.02.05</t>
  </si>
  <si>
    <t>Рекомендовано Научно-методическим советом Московского государственного института электронной техники (технического университета) в качестве учебного пособия для студентов среднего профессионального образования, обучающихся по техническим специальностям</t>
  </si>
  <si>
    <t>115400.09.01</t>
  </si>
  <si>
    <t>Технические средства информатизации: Уч.пос./Л.Г.Гагарина-М.:ИД ФОРУМ, НИЦ ИНФРА-М,2019-256с(СПО)(П)</t>
  </si>
  <si>
    <t>Гагарина Л. Г.</t>
  </si>
  <si>
    <t>978-5-8199-0734-4</t>
  </si>
  <si>
    <t>Рекомендовано Научно-методическим советом Московского государственного института электронной техники (технического университета) в качестве учебного пособия для студентов среднего профессионального образования, обучающихся по специальностям «Информатика и вычислительная техника»</t>
  </si>
  <si>
    <t>704196.06.01</t>
  </si>
  <si>
    <t>Технический сервис транспорт. машин и оборуд.: Уч.пос. / С.Ф.Головин - М.:НИЦ ИНФРА-М,2024 - 282с(СПО)(П)</t>
  </si>
  <si>
    <t>ТЕХНИЧЕСКИЙ СЕРВИС ТРАНСПОРТНЫХ МАШИН И ОБОРУДОВАНИЯ</t>
  </si>
  <si>
    <t>Головин С.Ф.</t>
  </si>
  <si>
    <t>978-5-16-014919-6</t>
  </si>
  <si>
    <t>35.01.27, 35.01.30, 35.01.33, 35.02.05, 35.02.16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</si>
  <si>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23.02.00 «Техника и технологии наземного транспорта» (протокол № 5 от 11.03.2019)</t>
  </si>
  <si>
    <t>096750.20.01</t>
  </si>
  <si>
    <t>Техническое нормир., оплата труда и проектно-смет...: Уч. / И.А.Либерман - М.:НИЦ ИНФРА-М,2025 - 400 с.(СПО)(п)</t>
  </si>
  <si>
    <t>ТЕХНИЧЕСКОЕ НОРМИРОВАНИЕ, ОПЛАТА ТРУДА И ПРОЕКТНО-СМЕТНОЕ ДЕЛО В СТРОИТЕЛЬСТВЕ</t>
  </si>
  <si>
    <t>Либерман И. А.</t>
  </si>
  <si>
    <t>978-5-16-003434-8</t>
  </si>
  <si>
    <t>08.01.29, 08.01.30, 08.02.01, 08.02.02, 08.02.03, 08.02.04, 08.02.08, 08.02.09, 08.02.12, 08.02.13, 23.02.08</t>
  </si>
  <si>
    <t>083040.18.01</t>
  </si>
  <si>
    <t>Техническое обслуж. авт. зарубеж. произв.: Уч.пос./ И.С.Туревский - М.:ИД ФОРУМ, НИЦ ИНФРА-М,2026 -208с(П)</t>
  </si>
  <si>
    <t>ТЕХНИЧЕСКОЕ ОБСЛУЖИВАНИЕ АВТОМОБИЛЕЙ ЗАРУБЕЖНОГО ПРОИЗВОДСТВА</t>
  </si>
  <si>
    <t>978-5-8199-0758-0</t>
  </si>
  <si>
    <t>Допущено Министерством образования Российской Федерации в качестве учебного пособия для студентов учреждений среднего профессионального образования, обучающихся по специальности 23.02.03 «Техническое обслуживание и ремонт автомобильного транспорта»</t>
  </si>
  <si>
    <t>058260.23.01</t>
  </si>
  <si>
    <t>Техническое обслуж. автомобилей: Уч.пос.: Кн.2 / Туревский И.С. - М.:ИД ФОРУМ,НИЦ ИНФРА-М,2026 - 256 с.(СПО)(п)</t>
  </si>
  <si>
    <t>ТЕХНИЧЕСКОЕ ОБСЛУЖИВАНИЕ АВТОМОБИЛЕЙ</t>
  </si>
  <si>
    <t>978-5-16-021197-8</t>
  </si>
  <si>
    <t>08.02.12, 23.01.03, 23.01.17, 23.02.02, 23.02.03, 23.02.07</t>
  </si>
  <si>
    <t>072640.15.01</t>
  </si>
  <si>
    <t>Техническое обслуж. и ремонт авто. трансп..: Уч.пос. / И.С.Туревский - М.:ИД ФОРУМ,НИЦ ИНФРА-М,2026 - 192 с.(П)</t>
  </si>
  <si>
    <t>ТЕХНИЧЕСКОЕ ОБСЛУЖИВАНИЕ И РЕМОНТ АВТОМОБИЛЬНОГО ТРАНСПОРТА. ВВЕДЕНИЕ В СПЕЦИАЛЬНОСТЬ</t>
  </si>
  <si>
    <t>978-5-16-021167-1</t>
  </si>
  <si>
    <t>032570.26.01</t>
  </si>
  <si>
    <t>Техническое обслуж. и ремонт автомобилей: Уч.пос. / Л.И.Епифанов, - 2 изд. - М.:НИЦ ИНФРА-М,2026. - 349 с.(СПО)(о)</t>
  </si>
  <si>
    <t>ТЕХНИЧЕСКОЕ ОБСЛУЖИВАНИЕ И РЕМОНТ АВТОМОБИЛЕЙ, ИЗД.2</t>
  </si>
  <si>
    <t>Епифанов Л.И., Епифанова Е.А.</t>
  </si>
  <si>
    <t>978-5-16-021198-5</t>
  </si>
  <si>
    <t>23.01.03, 23.01.06, 23.01.08, 23.01.17, 23.02.02, 23.02.03, 23.02.07, 35.01.27, 35.01.30, 35.02.05, 35.02.16</t>
  </si>
  <si>
    <t>065500.24.01</t>
  </si>
  <si>
    <t>Техническое обслуж.автомобилей: Уч.пос.: Кн.1  / И.С.Туревский - М.:ИД ФОРУМ, НИЦ ИНФРА-М,2026 - 432 с.(П)</t>
  </si>
  <si>
    <t>978-5-8199-0690-3</t>
  </si>
  <si>
    <t>23.01.03, 23.01.17, 23.02.02, 23.02.03, 23.02.07, 35.01.27, 35.01.30, 35.02.05, 35.02.07, 35.02.16</t>
  </si>
  <si>
    <t>Допущено Министерством образования Российской Федерации в качестве учебного пособия для студентов учреждений среднего профессионального образования, обучающихся по специальности «Техническое обслуживание и ремонт автомобильного транспорта»</t>
  </si>
  <si>
    <t>842176.01.01</t>
  </si>
  <si>
    <t>Технологии и методики фитнес-тренировки: Уч.пос. / А.И.Замогильнов - М.:НИЦ ИНФРА-М,2025. - 308 с.(СПО)(п)</t>
  </si>
  <si>
    <t>ТЕХНОЛОГИИ И МЕТОДИКИ ФИТНЕС-ТРЕНИРОВКИ</t>
  </si>
  <si>
    <t>Замогильнов А.И., Крылов В.Е., Якунина В.М. и др.</t>
  </si>
  <si>
    <t>978-5-16-020315-7</t>
  </si>
  <si>
    <t>49.02.01</t>
  </si>
  <si>
    <t>842007.01.01</t>
  </si>
  <si>
    <t>Технологии муз. образования: Уч.пос. / Т.В.Надолинская - М.:НИЦ ИНФРА-М,2025. - 231 с.(СПО)(п)</t>
  </si>
  <si>
    <t>ТЕХНОЛОГИИ МУЗЫКАЛЬНОГО ОБРАЗОВАНИЯ</t>
  </si>
  <si>
    <t>Надолинская Т.В.</t>
  </si>
  <si>
    <t>978-5-16-020301-0</t>
  </si>
  <si>
    <t>44.02.03, 44.02.04, 53.02.01, 53.02.02</t>
  </si>
  <si>
    <t>697049.07.01</t>
  </si>
  <si>
    <t>Технологии параллельного программир.: Уч.пос. / С.А.Лупин - М.:ИД ФОРУМ,НИЦ ИНФРА-М,2026 - 206 с.(СПО)(П)</t>
  </si>
  <si>
    <t>ТЕХНОЛОГИИ ПАРАЛЛЕЛЬНОГО ПРОГРАММИРОВАНИЯ</t>
  </si>
  <si>
    <t>Лупин С.А., Посыпкин М.А.</t>
  </si>
  <si>
    <t>978-5-8199-0853-2</t>
  </si>
  <si>
    <t>706849.06.01</t>
  </si>
  <si>
    <t>Технологии психологич. помощи семьям детей...: Уч. / В.В.Ткачева - 2 изд. - М.:НИЦ ИНФРА-М,2026 - 281с.(п)(СПО)</t>
  </si>
  <si>
    <t>ТЕХНОЛОГИИ ПСИХОЛОГИЧЕСКОЙ ПОМОЩИ СЕМЬЯМ ДЕТЕЙ С ОГРАНИЧЕННЫМИ ВОЗМОЖНОСТЯМИ ЗДОРОВЬЯ, ИЗД.2</t>
  </si>
  <si>
    <t>Ткачева В.В.</t>
  </si>
  <si>
    <t>978-5-16-015123-6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</si>
  <si>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44.02.04 «Специальное дошкольное образование», 44.02.05 «Коррекционная педагогика в начальном образовании» (протокол № 9 от 17.11.2022)</t>
  </si>
  <si>
    <t>705531.06.01</t>
  </si>
  <si>
    <t>Технологии уборки дома и квартиры: Уч.пос. / В.Н.Шитов - М.:НИЦ ИНФРА-М,2025. - 238 с. - (СПО)(П)</t>
  </si>
  <si>
    <t>ТЕХНОЛОГИИ УБОРКИ ДОМА И КВАРТИРЫ</t>
  </si>
  <si>
    <t>978-5-16-015294-3</t>
  </si>
  <si>
    <t>08.02.14, 43.02.11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</si>
  <si>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43.02.08 «Сервис домашнего и коммунального хозяйства» (протокол № 3 от 17.02.2020)</t>
  </si>
  <si>
    <t>357000.09.01</t>
  </si>
  <si>
    <t>Технологии физического уровня передачи данных: Уч. СПО / А.В.Кистрин .-М.:КУРС, НИЦ ИНФРА-М,2024.-218c(П)</t>
  </si>
  <si>
    <t>ТЕХНОЛОГИИ ФИЗИЧЕСКОГО УРОВНЯ ПЕРЕДАЧИ ДАННЫХ</t>
  </si>
  <si>
    <t>Кистрин А.В., Костров Б.В., Ефимов А.И. и др.</t>
  </si>
  <si>
    <t>978-5-906818-37-9</t>
  </si>
  <si>
    <t>09.02.02, 09.02.06, 10.02.05</t>
  </si>
  <si>
    <t>714975.04.01</t>
  </si>
  <si>
    <t>Технологическая оснастка: Уч.пос. / С.А.Берберов и др. - М.:НИЦ ИНФРА-М,2025 - 271 с.-(СПО)(П)</t>
  </si>
  <si>
    <t>ТЕХНОЛОГИЧЕСКАЯ ОСНАСТКА</t>
  </si>
  <si>
    <t>Берберов С.А., Тамаркин М.А., Прокопец Г.А. и др.</t>
  </si>
  <si>
    <t>978-5-16-015485-5</t>
  </si>
  <si>
    <t>15.02.04, 15.02.16, 15.02.17, 15.02.18, 18.02.07, 18.02.13, 24.02.02, 26.02.02, 26.02.04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</si>
  <si>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15.02.08 «Технология машиностроения» (протокол № 5 от 19.05.2021)</t>
  </si>
  <si>
    <t>719200.04.01</t>
  </si>
  <si>
    <t>Технологические проц. и оборуд. для приготов. кормов: Уч.пос. / И.Я.Федоренко - М.:Форум, НИЦ ИНФРА-М,2025. - 176 с.(П)</t>
  </si>
  <si>
    <t>ТЕХНОЛОГИЧЕСКИЕ ПРОЦЕССЫ И ОБОРУДОВАНИЕ ДЛЯ ПРИГОТОВЛЕНИЯ КОРМОВ</t>
  </si>
  <si>
    <t>Федоренко И. Я.</t>
  </si>
  <si>
    <t>978-5-00091-717-6</t>
  </si>
  <si>
    <t>19.02.11, 19.02.12, 22.02.08, 35.01.23, 35.02.05, 35.02.08, 35.02.18, 36.01.02, 36.01.03, 36.02.01, 36.02.03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</si>
  <si>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35.02.07 «Механизация сельского хозяйства», 35.02.06 «Технология производства и переработки сельскохозяйственной продукции» (протокол № 11 от 10.06.2019)</t>
  </si>
  <si>
    <t>719353.05.01</t>
  </si>
  <si>
    <t>Технологические процессы в тех. сервисе машин и оборуд.: Уч.пос. / И.Н.Кравченк -М.:НИЦ ИНФРА-М,2025-346с(П)</t>
  </si>
  <si>
    <t>ТЕХНОЛОГИЧЕСКИЕ ПРОЦЕССЫ В ТЕХНИЧЕСКОМ СЕРВИСЕ МАШИН И ОБОРУДОВАНИЯ</t>
  </si>
  <si>
    <t>Кравченко И.Н., Пузряков А.Ф., Корнеев В.М. и др.</t>
  </si>
  <si>
    <t>978-5-16-015625-5</t>
  </si>
  <si>
    <t>13.02.13, 15.01.13, 15.01.18, 15.02.04, 15.02.06, 35.01.27, 35.01.30, 35.02.05, 35.02.07, 35.02.08, 35.02.16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</si>
  <si>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35.02.07 «Механизация сельского хозяйства» (протокол № 12 от 24.06.2019)</t>
  </si>
  <si>
    <t>707129.09.01</t>
  </si>
  <si>
    <t>Технологическое оборуд. для АЗС и нефтебаз: Уч.пос.: В 2ч.Ч.2 / Ю.Н.Безбородов, -М.:НИЦ ИНФРА-М, СФУ,2024-171с.(П)</t>
  </si>
  <si>
    <t>ТЕХНОЛОГИЧЕСКОЕ ОБОРУДОВАНИЕ ДЛЯ АЗС И НЕФТЕБАЗ. В 2-Х ЧАСТЯХ., Т.2</t>
  </si>
  <si>
    <t>Безбородов Ю.Н., Петров О.Н., Сокольников А.Н. и др.</t>
  </si>
  <si>
    <t>978-5-16-017078-7</t>
  </si>
  <si>
    <t>23.02.01, 23.02.03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</si>
  <si>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23.02.00 «Техника и технологии наземного транспорта»</t>
  </si>
  <si>
    <t>707128.07.01</t>
  </si>
  <si>
    <t>Технологическое оборуд. для АЗС и нефтебаз: Уч.пос.: Ч.1 / Ю.Н.Безбородов - М.:НИЦ ИНФРА-М, СФУ,2025 - 168 с.(П)</t>
  </si>
  <si>
    <t>ТЕХНОЛОГИЧЕСКОЕ ОБОРУДОВАНИЕ ДЛЯ АЗС И НЕФТЕБАЗ, Т.1</t>
  </si>
  <si>
    <t>978-5-16-017116-6</t>
  </si>
  <si>
    <t>057600.14.01</t>
  </si>
  <si>
    <t>Технологическое оборуд. Металлореж. станки: Уч. / М.Ю.Сибикин - 3 изд. - М.:НИЦ ИНФРА-М,2025. - 512 с.(СПО)(п)</t>
  </si>
  <si>
    <t>ТЕХНОЛОГИЧЕСКОЕ ОБОРУДОВАНИЕ. МЕТАЛЛОРЕЖУЩИЕ СТАНКИ, ИЗД.3</t>
  </si>
  <si>
    <t>978-5-16-015845-7</t>
  </si>
  <si>
    <t>12.02.04, 15.01.38, 15.02.01, 15.02.03, 15.02.04, 15.02.09, 15.02.16, 15.02.17, 18.02.13, 23.02.03</t>
  </si>
  <si>
    <t>Допущено Министерством образования Российской Федерации в качестве учебника для студентов учреждений среднего профессионального образования, обучающихся по группе специальностей «Машиностроение»</t>
  </si>
  <si>
    <t>092300.17.01</t>
  </si>
  <si>
    <t>Технологическое оборуд. предпр. общ. пит. и торговли: Уч. / К.Я.Гайворонский, - 3 изд. - М.:НИЦ ИНФРА-М,2024. - 469 с.(П)</t>
  </si>
  <si>
    <t>ТЕХНОЛОГИЧЕСКОЕ ОБОРУДОВАНИЕ ПРЕДПРИЯТИЙ ОБЩЕСТВЕННОГО ПИТАНИЯ И ТОРГОВЛИ, ИЗД.3</t>
  </si>
  <si>
    <t>Гайворонский К.Я., Щеглов Н.Г.</t>
  </si>
  <si>
    <t>978-5-16-017316-0</t>
  </si>
  <si>
    <t>15.02.01, 15.02.06, 18.01.03, 18.01.26, 18.01.35, 18.02.04, 18.02.07, 18.02.09, 18.02.11, 18.02.14, 18.02.15, 19.01.09, 19.01.18, 19.01.19, 19.02.10, 19.02.11, 19.02.12, 19.02.13, 19.02.14, 35.02.18, 38.01.02, 43.01.09, 43.02.01, 43.02.15, 43.02.16</t>
  </si>
  <si>
    <t>Рекомендовано Министерством экономического развития и торговли Российской Федерации в качестве учебника для средних специальных и высших учебных заведений</t>
  </si>
  <si>
    <t>258100.12.01</t>
  </si>
  <si>
    <t>Технологическое оборуд. предпр. общ..: Практ. / К.Я.Гайворонский - М.:ФОРУМ:ИНФРА-М, 2026 - 104с.(СПО)(о)</t>
  </si>
  <si>
    <t>ТЕХНОЛОГИЧЕСКОЕ ОБОРУДОВАНИЕ ПРЕДРИЯТИЙ ОБЩЕСТВЕННОГО ПИТАНИЯ И ТОРГОВЛИ</t>
  </si>
  <si>
    <t>978-5-8199-0692-7</t>
  </si>
  <si>
    <t>15.02.01, 15.02.06, 18.01.03, 18.01.26, 18.01.35, 18.02.04, 18.02.07, 18.02.09, 18.02.11, 18.02.14, 18.02.15, 19.01.09, 19.01.18, 19.01.19, 19.02.10, 19.02.11, 19.02.12, 19.02.13, 19.02.14, 35.02.18, 38.01.02, 43.01.09, 43.02.15</t>
  </si>
  <si>
    <t>Рекомендовано Министерством экономического развития и торговли Российской Федерации в качестве учебного пособия для студентов средних специальных и высших учебных заведений</t>
  </si>
  <si>
    <t>092300.15.01</t>
  </si>
  <si>
    <t>Технологическое оборуд. предпр. обществ. пит..: Уч. / К.Я.Гайворонский - 4 изд. - М.:НИЦ ИНФРА-М,2025 - 475 с.(п)</t>
  </si>
  <si>
    <t>ТЕХНОЛОГИЧЕСКОЕ ОБОРУДОВАНИЕ ПРЕДПРИЯТИЙ ОБЩЕСТВЕННОГО ПИТАНИЯ И ТОРГОВЛИ, ИЗД.4</t>
  </si>
  <si>
    <t>978-5-16-019967-2</t>
  </si>
  <si>
    <t>057600.10.01</t>
  </si>
  <si>
    <t>Технологическое оборуд.. Металлореж. станки: Уч. / М.Ю.Сибикин - 2 изд. - М.:Форум,2021-448с.(ПО)(п)</t>
  </si>
  <si>
    <t>ТЕХНОЛОГИЧЕСКОЕ ОБОРУДОВАНИЕ. МЕТАЛЛОРЕЖУЩИЕ СТАНКИ, ИЗД.2</t>
  </si>
  <si>
    <t>978-5-00091-700-8</t>
  </si>
  <si>
    <t>092300.09.01</t>
  </si>
  <si>
    <t>Технологическое оборудование предпр. общ. пит.:Уч./К.Я.Гайворонский-2изд.-ФОРУМ:ИНФРА-М,2019-480с(п)</t>
  </si>
  <si>
    <t>ТЕХНОЛОГИЧЕСКОЕ ОБОРУДОВАНИЕ ПРЕДПРИЯТИЙ ОБЩЕСТВЕННОГО ПИТАНИЯ И ТОРГОВЛИ, ИЗД.2</t>
  </si>
  <si>
    <t>978-5-8199-0776-4</t>
  </si>
  <si>
    <t>079780.09.01</t>
  </si>
  <si>
    <t>Технологическое оборудование: Уч.пос. / О.И.Аверьянов - М.:ИНФРА-М,2024-240 с.(СПО)(п)</t>
  </si>
  <si>
    <t>ТЕХНОЛОГИЧЕСКОЕ ОБОРУДОВАНИЕ</t>
  </si>
  <si>
    <t>Аверьянов О.И., Аверьянова И.О., Клепиков В.В.</t>
  </si>
  <si>
    <t>978-5-16-019640-4</t>
  </si>
  <si>
    <t>11.01.05, 12.02.04, 13.02.07, 13.02.08, 13.02.09, 13.02.12, 13.02.13, 15.02.01, 15.02.03, 15.02.04, 15.02.09, 15.02.10, 15.02.16, 15.02.17, 18.02.04, 18.02.14, 23.02.03</t>
  </si>
  <si>
    <t>704418.11.01</t>
  </si>
  <si>
    <t>Технология выполнения работы по проф. «Кассир»: Уч.пос. / Н.А.Качан - 2 изд. - М.:НИЦ ИНФРА-М,2026 - 307 c.(П)</t>
  </si>
  <si>
    <t>ТЕХНОЛОГИЯ ВЫПОЛНЕНИЯ РАБОТЫ ПО ПРОФЕССИИ «КАССИР», ИЗД.2</t>
  </si>
  <si>
    <t>978-5-16-015098-7</t>
  </si>
  <si>
    <t>11.01.01, 11.02.12, 38.01.02, 38.02.01, 43.01.05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</si>
  <si>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 (протокол № 3 от 11.02.2019)</t>
  </si>
  <si>
    <t>713933.02.01</t>
  </si>
  <si>
    <t>Технология и механизация проц.город.строит. и хоз.:Уч.пос. / В.М.Лебедев-М.:НИЦ ИНФРА-М,2023-329с(П)</t>
  </si>
  <si>
    <t>ТЕХНОЛОГИЯ И МЕХАНИЗАЦИЯ ПРОЦЕССОВ ГОРОДСКОГО СТРОИТЕЛЬСТВА И ХОЗЯЙСТВА</t>
  </si>
  <si>
    <t>978-5-16-015404-6</t>
  </si>
  <si>
    <t>07.02.01, 08.02.01, 08.02.02, 21.02.19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</si>
  <si>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08.02.00 «Техника и технологии строительства» (протокол № 7 от 15.04.2019)</t>
  </si>
  <si>
    <t>750878.03.01</t>
  </si>
  <si>
    <t>Технология и оборуд. для производ. полуфабр. деревян...: Уч.пос. / А.В.Мехренцев-3изд.-М.:ИНФРА-М,2024-316с(П)</t>
  </si>
  <si>
    <t>ТЕХНОЛОГИЯ И ОБОРУДОВАНИЕ ДЛЯ ПРОИЗВОДСТВА ПОЛУФАБРИКАТОВ ДЕРЕВЯННОГО ДОМОСТРОЕНИЯ И СПЕЦИАЛЬНЫХ ВИДОВ ПИЛОПРОДУКЦИИ, ИЗД.3</t>
  </si>
  <si>
    <t>Мехренцев А.В., Меньшиков Б.Е., Курдышева Е.В.</t>
  </si>
  <si>
    <t>978-5-16-016724-4</t>
  </si>
  <si>
    <t>35.01.06, 35.02.18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</si>
  <si>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35.02.03 «Технология деревообработки», 35.02.04 «Технология комплексной переработки древесины» (протокол № 11 от 09.11.2020) 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35.02.03 «Технология деревообработки», 35.02.04 «Технология комплексной переработки древесины» (протокол № 11 от 09.11.2020)</t>
  </si>
  <si>
    <t>838958.01.01</t>
  </si>
  <si>
    <t>Технология и оборуд. лесопильного производства: Уч.пос. / С.В.Фокин - М.:НИЦ ИНФРА-М,2025. - 327 с.(СПО)</t>
  </si>
  <si>
    <t>ТЕХНОЛОГИЯ И ОБОРУДОВАНИЕ ЛЕСОПИЛЬНОГО ПРОИЗВОДСТВА</t>
  </si>
  <si>
    <t>978-5-16-020232-7</t>
  </si>
  <si>
    <t>15.01.35, 15.01.37, 23.01.06, 35.01.01, 35.01.30, 35.02.01, 35.02.02</t>
  </si>
  <si>
    <t>АКАДЕМУС-2021, Победитель, I место</t>
  </si>
  <si>
    <t>758049.05.01</t>
  </si>
  <si>
    <t>Технология и орг. предприятия туризма: Уч. / Под ред. Богданова Е.И. - М.:НИЦ ИНФРА-М,2024 - 176 с.-(СПО)(П)</t>
  </si>
  <si>
    <t>ТЕХНОЛОГИЯ И ОРГАНИЗАЦИЯ ПРЕДПРИЯТИЯ ТУРИЗМА</t>
  </si>
  <si>
    <t>Орловская В.П., Богданов Е.И.</t>
  </si>
  <si>
    <t>978-5-16-016968-2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</si>
  <si>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43.02.10 «Туризм», 43.02.11 «Гостиничный сервис» (протокол № 12 от 14.12.2020)</t>
  </si>
  <si>
    <t>Санкт-Петербургский государственный экономический университет</t>
  </si>
  <si>
    <t>713957.03.01</t>
  </si>
  <si>
    <t>Технология и орг. производ. реконструкции...: Уч.пос. / В.М.Лебедев - М.:НИЦ ИНФРА-М,2025 - 200с.(П)</t>
  </si>
  <si>
    <t>ТЕХНОЛОГИЯ И ОРГАНИЗАЦИЯ ПРОИЗВОДСТВА РЕКОНСТРУКЦИИ И РЕМОНТА ЗДАНИЙ</t>
  </si>
  <si>
    <t>978-5-16-015405-3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</si>
  <si>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08.02.00 «Техника и технологии строительства» (протокол № 6 от 25.03.2019)</t>
  </si>
  <si>
    <t>757881.04.01</t>
  </si>
  <si>
    <t>Технология и орг. ресторан. бизнеса и питания туристов: Уч. / С.А.Быстров-М.:НИЦ ИНФРА-М,2024.-536 с.(СПО)(П)</t>
  </si>
  <si>
    <t>ТЕХНОЛОГИЯ И ОРГАНИЗАЦИЯ РЕСТОРАННОГО БИЗНЕСА И ПИТАНИЯ ТУРИСТОВ</t>
  </si>
  <si>
    <t>978-5-16-016945-3</t>
  </si>
  <si>
    <t>19.02.10, 19.02.11, 19.02.12, 19.02.13, 43.02.01, 43.02.11, 43.02.16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</si>
  <si>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19.02.10 «Технология продукции общественного питания», 43.02.10 «Туризм», 43.02.11 «Гостиничный сервис», 43.02.14 «Гостиничное дело» (протокол № 11 от 09.11.2020)</t>
  </si>
  <si>
    <t>714356.04.01</t>
  </si>
  <si>
    <t>Технология и орг. строит. производства: Уч.пос. / В.М.Лебедев - М.:НИЦ ИНФРА-М,2026. - 282 с.(СПО)(п)</t>
  </si>
  <si>
    <t>ТЕХНОЛОГИЯ И ОРГАНИЗАЦИЯ СТРОИТЕЛЬНОГО ПРОИЗВОДСТВА</t>
  </si>
  <si>
    <t>978-5-16-015668-2</t>
  </si>
  <si>
    <t>08.02.01, 08.02.02, 08.02.03, 08.02.04, 08.02.08, 08.02.12</t>
  </si>
  <si>
    <t>757961.05.01</t>
  </si>
  <si>
    <t>Технология и техника переработки молока: Уч.пос. / С.А.Бредихин - 2 изд. - М.:НИЦ ИНФРА-М,2026 - 443с(П)</t>
  </si>
  <si>
    <t>ТЕХНОЛОГИЯ И ТЕХНИКА ПЕРЕРАБОТКИ МОЛОКА, ИЗД.2</t>
  </si>
  <si>
    <t>Бредихин С.А.</t>
  </si>
  <si>
    <t>978-5-16-016957-6</t>
  </si>
  <si>
    <t>19.01.19, 19.02.11, 19.02.12, 22.02.08, 35.02.18, 36.01.02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</si>
  <si>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19.02.07 «Технология молока и молочных продуктов», 35.02.06 «Технология производства и переработки сельскохозяйственной продукции»  (протокол № 11 от 09.11.2020)</t>
  </si>
  <si>
    <t>347700.15.01</t>
  </si>
  <si>
    <t>Технология изготовл. сварных конструкций: Уч. / В.В.Овчинников - М.:ИД Форум, НИЦ ИНФРА-М,2026. - 208 с.(СПО)(П)</t>
  </si>
  <si>
    <t>ТЕХНОЛОГИЯ ИЗГОТОВЛЕНИЯ СВАРНЫХ КОНСТРУКЦИЙ</t>
  </si>
  <si>
    <t>978-5-8199-0883-9</t>
  </si>
  <si>
    <t>15.01.05, 15.01.29, 15.01.36, 15.02.19</t>
  </si>
  <si>
    <t>703217.03.01</t>
  </si>
  <si>
    <t>Технология изготовления типовых деталей машин: Уч.пос. / И.В.Шрубченко -М.:НИЦ ИНФРА-М,2023-358с(П)</t>
  </si>
  <si>
    <t>ТЕХНОЛОГИЯ ИЗГОТОВЛЕНИЯ ТИПОВЫХ ДЕТАЛЕЙ МАШИН</t>
  </si>
  <si>
    <t>978-5-16-014868-7</t>
  </si>
  <si>
    <t>15.01.13, 15.01.38, 15.02.16</t>
  </si>
  <si>
    <t>730634.08.01</t>
  </si>
  <si>
    <t>Технология индивидуал. изготовления и ремонта обуви: Уч. / И.Н.Леденева - М.:НИЦ ИНФРА-М,2026. - 445 с.(СПО)(п)</t>
  </si>
  <si>
    <t>ТЕХНОЛОГИЯ ИНДИВИДУАЛЬНОГО ИЗГОТОВЛЕНИЯ И РЕМОНТА ОБУВИ</t>
  </si>
  <si>
    <t>Леденева И.Н.</t>
  </si>
  <si>
    <t>978-5-16-015945-4</t>
  </si>
  <si>
    <t>29.01.03, 29.01.32, 29.02.10</t>
  </si>
  <si>
    <t>Рекомендовано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29.01.02 «Обувщик (широкого профиля)», 29.01.03 «Сборщик обуви», 29.02.01 «Конструирование, моделирование и технология изделий из кожи»</t>
  </si>
  <si>
    <t>708145.09.01</t>
  </si>
  <si>
    <t>Технология конструк. матер. Обработка резанием: Уч.пос. / Г.А.Борисенко. - М.:НИЦ ИНФРА-М,2026. - 142 с.(О)</t>
  </si>
  <si>
    <t>ТЕХНОЛОГИЯ КОНСТРУКЦИОННЫХ МАТЕРИАЛОВ. ОБРАБОТКА РЕЗАНИЕМ</t>
  </si>
  <si>
    <t>Борисенко Г.А., Иванов Г.Н., Сейфулин Р.Р.</t>
  </si>
  <si>
    <t>978-5-16-015221-9</t>
  </si>
  <si>
    <t>12.02.04, 15.02.01, 15.02.16, 15.02.17, 15.02.18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</si>
  <si>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15.02.08 «Технология машиностроения», 15.02.15 «Технология металлообрабатывающего производства» (протокол № 17 от 11.11.2019)</t>
  </si>
  <si>
    <t>708656.04.01</t>
  </si>
  <si>
    <t>Технология конструкционных материалов: Уч.пос. / Б.А.Матюшкин-М.:НИЦ ИНФРА-М,2024-263с(СПО)(П)</t>
  </si>
  <si>
    <t>ТЕХНОЛОГИЯ КОНСТРУКЦИОННЫХ МАТЕРИАЛОВ</t>
  </si>
  <si>
    <t>Матюшкин Б.А., Денисов В.И.</t>
  </si>
  <si>
    <t>978-5-16-015262-2</t>
  </si>
  <si>
    <t>08.02.04, 12.02.04, 15.02.01, 15.02.04, 15.02.07, 15.02.09, 15.02.16, 15.02.17, 15.02.18, 15.02.19, 22.02.08, 23.01.17, 23.02.02, 23.02.03, 23.02.07</t>
  </si>
  <si>
    <t>,Рекомендовано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15.02.00 «Машиностроение» (протокол № 5 от 11.03.2019)</t>
  </si>
  <si>
    <t>Федеральный научный агроинженерный центр ВИМ</t>
  </si>
  <si>
    <t>708662.02.01</t>
  </si>
  <si>
    <t>Технология конструкционных материалов: Уч.пос./ В.П.Глухов, -3 изд., -М.:НИЦ ИНФРА-М,2023-272с.(П)</t>
  </si>
  <si>
    <t>ТЕХНОЛОГИЯ КОНСТРУКЦИОННЫХ МАТЕРИАЛОВ, ИЗД.3</t>
  </si>
  <si>
    <t>Глухов В.П., Тимофеев В.Л., Федоров В.Б. и др.</t>
  </si>
  <si>
    <t>978-5-16-015263-9</t>
  </si>
  <si>
    <t>12.02.04, 15.02.01, 15.02.04, 15.02.16, 15.02.17, 15.02.18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</si>
  <si>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техническим специальностям (протокол № 11 от 10.06.2019)</t>
  </si>
  <si>
    <t>Ижевский государственный технический университет им. М.Т. Калашникова</t>
  </si>
  <si>
    <t>140450.11.01</t>
  </si>
  <si>
    <t>Технология машиностр. Осн. проектир. на ЭВМ: Уч.пос. / О.В.Таратынов - М.:Форум,2025-610 с.(ПО) (п)</t>
  </si>
  <si>
    <t>ТЕХНОЛОГИЯ МАШИНОСТРОЕНИЯ. ОСНОВЫ ПРОЕКТИРОВАНИЯ НА ЭВМ</t>
  </si>
  <si>
    <t>Таратынов О. В., Клепиков В. В., Базров Б. М.</t>
  </si>
  <si>
    <t>978-5-00091-684-1</t>
  </si>
  <si>
    <t>15.01.18, 15.01.26, 15.01.27, 15.01.35, 15.01.36, 15.01.38, 15.02.07, 15.02.10, 15.02.16, 15.02.18, 35.02.10</t>
  </si>
  <si>
    <t>Рекомендовано Федеральным государственным учреждением «Федеральный институт развития образования» в качестве учебного пособия для использования в учебном процессе образовательных учреждений, реализующих программы среднего профессионального образования</t>
  </si>
  <si>
    <t>719230.02.01</t>
  </si>
  <si>
    <t>Технология машиностроения...: Уч.пос. / И.С.Иванов - М.:НИЦ ИНФРА-М,2022 - 224 с.(П)</t>
  </si>
  <si>
    <t>ТЕХНОЛОГИЯ МАШИНОСТРОЕНИЯ: ПРОИЗВОДСТВО ТИПОВЫХ ДЕТАЛЕЙ МАШИН</t>
  </si>
  <si>
    <t>Иванов И. С.</t>
  </si>
  <si>
    <t>978-5-16-015601-9</t>
  </si>
  <si>
    <t>15.01.13, 15.01.38, 15.02.04, 15.02.16</t>
  </si>
  <si>
    <t>Рекомендовано ¶Межрегиональным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15.02.00 «Машиностроение» (протокол № 12 от 24.06.2019)</t>
  </si>
  <si>
    <t>097850.11.01</t>
  </si>
  <si>
    <t>Технология машиностроения.: Уч. пос. / И.О. Аверьянова. - М.: Форум, 2025. - 304 с. (СрПрофОбр) (п)</t>
  </si>
  <si>
    <t>ТЕХНОЛОГИЯ МАШИНОСТРОЕНИЯ. ВЫСОКОЭНЕРГЕТИЧЕСКИЕ И КОМБИНИРОВАННЫЕ МЕТОДЫ ОБРАБОТКИ</t>
  </si>
  <si>
    <t>Аверьянова И. О., Клепиков В. В.</t>
  </si>
  <si>
    <t>978-5-91134-268-5</t>
  </si>
  <si>
    <t>15.01.01, 15.01.02, 15.01.03, 15.01.04, 15.01.05, 15.01.06, 15.01.07, 15.01.08, 15.01.13, 15.01.27, 15.01.28, 15.02.01, 15.02.07, 15.02.16, 15.02.17, 15.02.19, 26.02.04, 27.02.04</t>
  </si>
  <si>
    <t>719231.01.01</t>
  </si>
  <si>
    <t>Технология машиностроения: Сб. задач и упр.: Уч.пос. / В.И.Аверченков и др., - 3 изд.-М.:НИЦ ИНФРА-М,2021.-305 с.(П)</t>
  </si>
  <si>
    <t>ТЕХНОЛОГИЯ МАШИНОСТРОЕНИЯ. СБОРНИК ЗАДАЧ И УПРАЖНЕНИЙ, ИЗД.3</t>
  </si>
  <si>
    <t>Аверченков В. И., Горленко О. А., Ильицкий В. Б., Тотай А. В., Чистов В. Ф., Аверченков В. И., Польский Е. А.</t>
  </si>
  <si>
    <t>978-5-16-015602-6</t>
  </si>
  <si>
    <t>15.02.09, 15.02.10, 15.02.16, 15.02.18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</si>
  <si>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машиностроительным специальностям (протокол № 8 от 22.06.2020)</t>
  </si>
  <si>
    <t>Брянский государственный технический университет</t>
  </si>
  <si>
    <t>697048.05.01</t>
  </si>
  <si>
    <t>Технология машиностроения: Уч. / А.А.Погонин и др. - 3 изд. - М.:НИЦ ИНФРА-М,2026 - 530 с.(СПО)(П)</t>
  </si>
  <si>
    <t>ТЕХНОЛОГИЯ МАШИНОСТРОЕНИЯ, ИЗД.3</t>
  </si>
  <si>
    <t>Погонин А.А., Афанасьев А.А., Шрубченко И.В.</t>
  </si>
  <si>
    <t>978-5-16-014617-1</t>
  </si>
  <si>
    <t>15.01.13, 15.02.01, 15.02.04, 15.02.16, 15.02.17, 15.02.19, 26.02.04, 27.02.04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</si>
  <si>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машиностроительным специальностям (протокол № 11 от 09.11.2020)</t>
  </si>
  <si>
    <t>049400.16.01</t>
  </si>
  <si>
    <t>Технология машиностроения: Уч. / В.В.Клепиков, - 2 изд. - М.:Форум,2025. - 860 с.(п)</t>
  </si>
  <si>
    <t>ТЕХНОЛОГИЯ МАШИНОСТРОЕНИЯ, ИЗД.2</t>
  </si>
  <si>
    <t>Клепиков В.В., Бодров А.Н.</t>
  </si>
  <si>
    <t>978-5-91134-251-7</t>
  </si>
  <si>
    <t>15.02.09, 15.02.10</t>
  </si>
  <si>
    <t>Допущено Министерством образования РФ в качестве учебника для студентов учреждений среднего профессионального образования, обучающихся по группе специальностей 1200 "Машиностроение"</t>
  </si>
  <si>
    <t>719232.01.01</t>
  </si>
  <si>
    <t>Технология машиностроения: Уч.пос. / И.С.Иванов - 2 изд. - М.:НИЦ ИНФРА-М,2020-240с(СПО)(П)</t>
  </si>
  <si>
    <t>978-5-16-015604-0</t>
  </si>
  <si>
    <t>15.01.13, 15.01.38, 15.02.01, 15.02.04, 15.02.16, 15.02.17, 15.02.19, 26.02.04, 27.02.04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</si>
  <si>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15.02.08 «Технология машиностроения» (протокол № 12 от 24.06.2019)</t>
  </si>
  <si>
    <t>700480.06.01</t>
  </si>
  <si>
    <t>Технология мукомольного производства: Уч.пос. / Г.Г.Юсупова - М.:НИЦ ИНФРА-М,2023 - 180 с.-(СПО)(П)</t>
  </si>
  <si>
    <t>ТЕХНОЛОГИЯ МУКОМОЛЬНОГО ПРОИЗВОДСТВА</t>
  </si>
  <si>
    <t>Юсупова Г.Г., Бердышникова О.Н.</t>
  </si>
  <si>
    <t>978-5-16-014730-7</t>
  </si>
  <si>
    <t>19.02.11, 19.02.12, 22.02.08, 35.02.18, 43.01.04, 43.01.09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</si>
  <si>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35.02.06 «Технология производства и переработки сельскохозяйственной продукции», 19.02.02 «Технология хранения и переработки зерна», 19.02.03 «Технология хлеба, кондитерских и макаронных изделий»</t>
  </si>
  <si>
    <t>848534.01.01</t>
  </si>
  <si>
    <t>Технология мяса и мясных продуктов: Уч.пос. / Н.А.Величко - М.:НИЦ ИНФРА-М,2025. - 270 с.:цв.ил. (СПО (КрГАУ))(п)</t>
  </si>
  <si>
    <t>ТЕХНОЛОГИЯ МЯСА И МЯСНЫХ ПРОДУКТОВ</t>
  </si>
  <si>
    <t>Величко Н.А., Машанов А.И., Речкина Е.А. и др.</t>
  </si>
  <si>
    <t>978-5-16-020583-0</t>
  </si>
  <si>
    <t>19.01.19, 19.02.11, 19.02.12</t>
  </si>
  <si>
    <t>704132.06.01</t>
  </si>
  <si>
    <t>Технология орг. туроператор. и турагентской деят.: Уч. / С.А.Быстров - М.:НИЦ ИНФРА-М,2026 - 375 с.(СПО)(П)</t>
  </si>
  <si>
    <t>ТЕХНОЛОГИЯ ОРГАНИЗАЦИИ ТУРОПЕРАТОРСКОЙ И ТУРАГЕНТСКОЙ ДЕЯТЕЛЬНОСТИ</t>
  </si>
  <si>
    <t>978-5-16-014917-2</t>
  </si>
  <si>
    <t>807891.02.01</t>
  </si>
  <si>
    <t>Технология оформления бровей и ресниц: Уч.пос. / Е.Н.Зубова - М.:НИЦ ИНФРА-М,2026. - 210 с.(СПО)(п)</t>
  </si>
  <si>
    <t>ТЕХНОЛОГИЯ ОФОРМЛЕНИЯ БРОВЕЙ И РЕСНИЦ</t>
  </si>
  <si>
    <t>978-5-16-018810-2</t>
  </si>
  <si>
    <t>760135.04.01</t>
  </si>
  <si>
    <t>Технология переработки пищевых яиц: Уч.пос. / А.Г.Забашта - М.:НИЦ ИНФРА-М,2025 - 202 с.(СПО)(П)</t>
  </si>
  <si>
    <t>ТЕХНОЛОГИЯ ПЕРЕРАБОТКИ ПИЩЕВЫХ ЯИЦ</t>
  </si>
  <si>
    <t>Забашта А.Г., Шалимова Т.А., Басов В.О.</t>
  </si>
  <si>
    <t>978-5-16-017045-9</t>
  </si>
  <si>
    <t>19.02.11, 19.02.12, 22.02.08, 35.02.18, 36.01.02, 36.02.03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</si>
  <si>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19.02.08 «Технология мяса и мясных продуктов» (протокол № 12 от 14.12.2020)</t>
  </si>
  <si>
    <t>090650.15.01</t>
  </si>
  <si>
    <t>Технология продуктов общ. пит.: Уч.пос. / В.А.Домарецкий - 2 изд. - М.:Форум, НИЦ ИНФРА-М,2025 - 395 с.(П)</t>
  </si>
  <si>
    <t>ТЕХНОЛОГИЯ ПРОДУКТОВ ОБЩЕСТВЕННОГО ПИТАНИЯ, ИЗД.2</t>
  </si>
  <si>
    <t>Домарецкий В. А.</t>
  </si>
  <si>
    <t>978-5-00091-488-5</t>
  </si>
  <si>
    <t>19.01.18, 19.01.19, 19.02.10, 19.02.12, 19.02.13, 35.01.23, 35.02.10, 43.02.15</t>
  </si>
  <si>
    <t>776674.01.01</t>
  </si>
  <si>
    <t>Технология продуктов обществ. питания длительного хранения: Уч. / А.Т.Васюкова-М.:НИЦ ИНФРА-М,2025.-271 с.(п)</t>
  </si>
  <si>
    <t>ТЕХНОЛОГИЯ ПРОДУКТОВ ОБЩЕСТВЕННОГО ПИТАНИЯ ДЛИТЕЛЬНОГО ХРАНЕНИЯ</t>
  </si>
  <si>
    <t>978-5-16-018229-2</t>
  </si>
  <si>
    <t>19.02.10, 19.02.11, 19.02.12, 19.02.13, 43.02.15</t>
  </si>
  <si>
    <t>Рекомендовано учебным управлением в качестве учебника для студентов СПО по специальностям 38.02.05 «Товароведение и экспертиза качества потребительских товаров», 43.02.15 «Поварское и кондитерское дело», а также бакалавриата направлений подготовки 38.03.06 «Торговое дело», 38.03.07 «Товароведение», 19.03.02 «Продукты питания из растительного сырья», 19.03.03 «Продукты питания животного происхождения», 19.03.04 «Технология продукции и организация общественного питания»</t>
  </si>
  <si>
    <t>851571.01.01</t>
  </si>
  <si>
    <t>Технология продукции обществ. питания. Практ.: Уч.пос. / Л.П.Липатова - М.:НИЦ ИНФРА-М,2025. - 248 с.(СПО)(п)</t>
  </si>
  <si>
    <t>ТЕХНОЛОГИЯ ПРОДУКЦИИ ОБЩЕСТВЕННОГО ПИТАНИЯ. ПРАКТИКУМ</t>
  </si>
  <si>
    <t>Липатова Л.П., Жубрева Т.В., Мясникова Е.Н. и др.</t>
  </si>
  <si>
    <t>978-5-16-020837-4</t>
  </si>
  <si>
    <t>15.02.17, 19.02.10, 19.02.13, 43.02.01, 43.02.15</t>
  </si>
  <si>
    <t>057900.14.01</t>
  </si>
  <si>
    <t>Технология производст.неметал.строит.изделий и конст.: Уч. / Л.А.Алимов - М.:НИЦ ИНФРА-М,2026 - 442 с.(СПО)</t>
  </si>
  <si>
    <t>ТЕХНОЛОГИЯ ПРОИЗВОДСТВА НЕМЕТАЛЛИЧЕСКИХ СТРОИТЕЛЬНЫХ ИЗДЕЛИЙ И КОНСТРУКЦИЙ</t>
  </si>
  <si>
    <t>Алимов Л.А., Воронин В.В.</t>
  </si>
  <si>
    <t>978-5-16-011061-5</t>
  </si>
  <si>
    <t>08.02.01, 08.02.02, 08.02.03, 08.02.04, 08.02.12, 23.02.08</t>
  </si>
  <si>
    <t>Допущен Государственным комитетом Российской Федерации по строительству и жилищно-коммунальному комплексу в качестве учебника для студентов средних профессиональных учебных заведений, обучающихся по специальности «Производство строительных изделий и конструкций»</t>
  </si>
  <si>
    <t>112650.09.01</t>
  </si>
  <si>
    <t>Технология производства деталей автотракторной техники: Уч. пос. / В.Н. Балашов. - М.:Форум, 2025 - 288 с.(п)</t>
  </si>
  <si>
    <t>ТЕХНОЛОГИЯ ПРОИЗВОДСТВА ДЕТАЛЕЙ АВТОТРАКТОРНОЙ ТЕХНИКИ</t>
  </si>
  <si>
    <t>Балашов В. Н.</t>
  </si>
  <si>
    <t>978-5-91134-342-2</t>
  </si>
  <si>
    <t>15.02.10, 15.02.16, 23.02.02</t>
  </si>
  <si>
    <t>709015.02.01</t>
  </si>
  <si>
    <t>Технология производства и контроль кач. наноматер..:Уч.пос. /В.И.Капустин-М.:НИЦ ИНФРА-М,2023-244с(П)</t>
  </si>
  <si>
    <t>ТЕХНОЛОГИЯ ПРОИЗВОДСТВА И КОНТРОЛЬ КАЧЕСТВА НАНОМАТЕРИАЛОВ И НАНОСТРУКТУР</t>
  </si>
  <si>
    <t>Капустин В.И., Сигов А.С.</t>
  </si>
  <si>
    <t>978-5-16-015278-3</t>
  </si>
  <si>
    <t>28.00.00, 18.02.13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</si>
  <si>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11.02.00 «Электроника, радиотехника и системы связи», 22.02.00 «Технологии материалов» (протокол № 5 от 11.03.2019)</t>
  </si>
  <si>
    <t>708897.01.01</t>
  </si>
  <si>
    <t>Технология производства мебели и резьба по дереву: Уч.пос. / А.А.Барташевич-2 изд-М.:НИЦ ИНФРА-М,2024-475 с.(СПО)(п)</t>
  </si>
  <si>
    <t>ТЕХНОЛОГИЯ ПРОИЗВОДСТВА МЕБЕЛИ И РЕЗЬБА ПО ДЕРЕВУ, ИЗД.2</t>
  </si>
  <si>
    <t>978-5-16-015413-8</t>
  </si>
  <si>
    <t>684898.13.01</t>
  </si>
  <si>
    <t>Технология разработки програм. обесп.: Уч.пос. / Под ред. Гагариной Л.Г - М:ИД ФОРУМ,2026 - 400 с.(СПО)(П)</t>
  </si>
  <si>
    <t>ТЕХНОЛОГИЯ РАЗРАБОТКИ ПРОГРАММНОГО ОБЕСПЕЧЕНИЯ</t>
  </si>
  <si>
    <t>Гагарина Л.Г., Кокорева Е.В., Сидорова-Виснадул Б.Д. и др.</t>
  </si>
  <si>
    <t>978-5-8199-0812-9</t>
  </si>
  <si>
    <t>043650.20.01</t>
  </si>
  <si>
    <t>Технология реконструкции и модер. зданий: Уч.пос. / Г.В.Девятаева - М.:НИЦ ИНФРА-М,2025-250 с.(СПО)(П)</t>
  </si>
  <si>
    <t>ТЕХНОЛОГИЯ РЕКОНСТРУКЦИИ И МОДЕРНИЗАЦИИ ЗДАНИЙ</t>
  </si>
  <si>
    <t>Девятаева Г.В.</t>
  </si>
  <si>
    <t>978-5-16-001505-7</t>
  </si>
  <si>
    <t>08.02.01, 08.02.02, 08.02.14</t>
  </si>
  <si>
    <t>Допущено Государственным комитетом Российской Федерации по строительству и жилищно-коммунальному хозяйству в качестве учебного пособия для студентов средних специальных учебных заведений, обучающихся по специальности 08.02.01 «Строительство и эксплуатация зданий и сооружений»</t>
  </si>
  <si>
    <t>Ярославский градостроительный колледж</t>
  </si>
  <si>
    <t>757113.02.01</t>
  </si>
  <si>
    <t>Технология ремонта машин: Уч.пос. / С.В.Стребков - М.:НИЦ ИНФРА-М,2024 - 246 с.(СПО)(П)</t>
  </si>
  <si>
    <t>ТЕХНОЛОГИЯ РЕМОНТА МАШИН</t>
  </si>
  <si>
    <t>Стребков С.В., Сахнов А.В.</t>
  </si>
  <si>
    <t>978-5-16-016901-9</t>
  </si>
  <si>
    <t>35.01.27, 35.01.30, 35.02.05, 35.02.16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</si>
  <si>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35.02.16 «Эксплуатация и ремонт сельскохозяйственной техники и оборудования» (протокол № 1 от 20.01.2021)</t>
  </si>
  <si>
    <t>717670.03.01</t>
  </si>
  <si>
    <t>Технология ремонта обуви: Уч.пос. / И.Н.Леденёва - М.:НИЦ ИНФРА-М,2022 - 373 с.-(СПО)(П)</t>
  </si>
  <si>
    <t>ТЕХНОЛОГИЯ РЕМОНТА ОБУВИ</t>
  </si>
  <si>
    <t>Леденёва И.Н.</t>
  </si>
  <si>
    <t>978-5-16-015576-0</t>
  </si>
  <si>
    <t>18.02.02, 29.01.03, 29.01.32, 43.02.07, 54.02.03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</si>
  <si>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29.01.02 «Обувщик», 29.01.03 «Сборщик обуви», 29.02.01 «Конструирование, моделирование и технология изделий из кожи» (протокол № 12 от 24.06.2019)</t>
  </si>
  <si>
    <t>777644.02.01</t>
  </si>
  <si>
    <t>Технология составления бух. отчетности: Уч. / Под ред. Сигидова Ю.И. - М.:НИЦ ИНФРА-М,2025. - 342 с.(СПО)(п)</t>
  </si>
  <si>
    <t>ТЕХНОЛОГИЯ СОСТАВЛЕНИЯ БУХГАЛТЕРСКОЙ ОТЧЕТНОСТИ</t>
  </si>
  <si>
    <t>Сигидов Ю.И., Оксанич Е.А., Ясменко Г.Н. и др.</t>
  </si>
  <si>
    <t>978-5-16-017726-7</t>
  </si>
  <si>
    <t>757876.04.01</t>
  </si>
  <si>
    <t>Технология твердых бытовых отходов: Уч. / Л.Я.Шубов - М.:НИЦ ИНФРА-М,2025 - 395 с.(СПО)(П)</t>
  </si>
  <si>
    <t>ТЕХНОЛОГИЯ ТВЕРДЫХ БЫТОВЫХ ОТХОДОВ</t>
  </si>
  <si>
    <t>Шубов Л.Я., Ставровский М.Е., Олейник А.В.</t>
  </si>
  <si>
    <t>978-5-16-016937-8</t>
  </si>
  <si>
    <t>Рекомендовано Дальневосточным региональным учебно-методическим центром (ДВ РУМЦ) в качестве учебника для студентов, обучающихся по специальности «Сервис»</t>
  </si>
  <si>
    <t>406350.12.01</t>
  </si>
  <si>
    <t>Технология термической обработки: Уч. / В.В. Овчинников - М.: ИД ФОРУМ: НИЦ Инфра-М, 2025 - 320 с.(ПО) (п)</t>
  </si>
  <si>
    <t>ТЕХНОЛОГИЯ ТЕРМИЧЕСКОЙ ОБРАБОТКИ</t>
  </si>
  <si>
    <t>978-5-8199-0509-8</t>
  </si>
  <si>
    <t>15.02.19, 22.02.08</t>
  </si>
  <si>
    <t>0100</t>
  </si>
  <si>
    <t>770565.01.01</t>
  </si>
  <si>
    <t>Технология формир. и продвиж.  гостиничного продукта: Уч.пос. / И.С.Ключевская-М.:НИЦ ИНФРА-М,2022.-346 с.(П)</t>
  </si>
  <si>
    <t>ТЕХНОЛОГИЯ ФОРМИРОВАНИЯ И ПРОДВИЖЕНИЯ  ГОСТИНИЧНОГО ПРОДУКТА</t>
  </si>
  <si>
    <t>978-5-16-017391-7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</si>
  <si>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43.02.11 «Гостиничный сервис» (протокол № 7 от 22.09.2021)</t>
  </si>
  <si>
    <t>099400.11.01</t>
  </si>
  <si>
    <t>Технология фрезерования изделий машиностроения: Уч.пос. / О.И.Аверьянов - М.:Форум,2025. - 432 с.(П)</t>
  </si>
  <si>
    <t>ТЕХНОЛОГИЯ ФРЕЗЕРОВАНИЯ ИЗДЕЛИЙ МАШИНОСТРОЕНИЯ</t>
  </si>
  <si>
    <t>Аверьянов О. И., Клепиков В. В.</t>
  </si>
  <si>
    <t>978-5-91134-204-3</t>
  </si>
  <si>
    <t>702581.08.01</t>
  </si>
  <si>
    <t>Технология швейных изделий. Лаб. практ.: Уч.пос. / И.Н.Каграманова - М.:ИД Форум, НИЦ ИНФРА-М,2026. - 304 с.(СПО)</t>
  </si>
  <si>
    <t>ТЕХНОЛОГИЯ ШВЕЙНЫХ ИЗДЕЛИЙ. ЛАБОРАТОРНЫЙ ПРАКТИКУМ</t>
  </si>
  <si>
    <t>Каграманова И.Н., Конопальцева Н.М.</t>
  </si>
  <si>
    <t>978-5-8199-0864-8</t>
  </si>
  <si>
    <t>29.01.04, 29.01.33, 29.02.05, 29.02.10, 54.01.05</t>
  </si>
  <si>
    <t>646032.04.01</t>
  </si>
  <si>
    <t>Технология электромашиностроения: Уч.пос. / М.Ю.Сибикин, - 2 изд. - М.:НИЦ ИНФРА-М,2026 - 352 с.(П)</t>
  </si>
  <si>
    <t>ТЕХНОЛОГИЯ ЭЛЕКТРОМАШИНОСТРОЕНИЯ, ИЗД.2</t>
  </si>
  <si>
    <t>Сибикин М.Ю., Сибикин Ю.Д.</t>
  </si>
  <si>
    <t>978-5-16-012566-4</t>
  </si>
  <si>
    <t>13.02.13, 15.02.16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</si>
  <si>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специальности 15.02.08 «Технология машиностроения»</t>
  </si>
  <si>
    <t>254400.16.01</t>
  </si>
  <si>
    <t>Технология электромонтаж. работ: Уч. пос. / Ю.Д.Сибикин - 4 изд. - М:Форум:НИЦ ИНФРА-М, 2026 - 352 с.(п)</t>
  </si>
  <si>
    <t>ТЕХНОЛОГИЯ ЭЛЕКТРОМОНТАЖНЫХ РАБОТ, ИЗД.4</t>
  </si>
  <si>
    <t>978-5-00091-631-5</t>
  </si>
  <si>
    <t>08.01.30, 08.01.31, 11.02.03, 11.02.06, 11.02.07, 11.02.11, 11.02.14, 11.02.15, 11.02.17, 11.02.18, 15.01.37, 21.01.15, 35.02.08</t>
  </si>
  <si>
    <t>Рекомендовано Экспертным советом по профессиональному образованию Министерства образования Российской Федерации в качестве учебного пособия</t>
  </si>
  <si>
    <t>072150.09.01</t>
  </si>
  <si>
    <t>Технология энергосбережения: Уч. / Ю.Д.Сибикин - 3 изд. - М.:НИЦ ИНФРА-М, НИЦ ИНФРА-М,2017.-352с.(п)</t>
  </si>
  <si>
    <t>ТЕХНОЛОГИЯ ЭНЕРГОСБЕРЕЖЕНИЯ, ИЗД.3</t>
  </si>
  <si>
    <t>978-5-91134-596-9</t>
  </si>
  <si>
    <t>13.02.01, 13.02.02, 13.02.04, 13.02.07, 13.02.09, 13.02.12, 13.02.13</t>
  </si>
  <si>
    <t>Допущено Министерством образования и науки РФ в качестве учебника для студентов учреждений среднего профессионального образования, обучающихся по группе направлений 15.00.00  "Машиностроение"</t>
  </si>
  <si>
    <t>072150.17.01</t>
  </si>
  <si>
    <t>Технология энергосбережения: Уч. / Ю.Д.Сибикин - 4 изд. - М.:НИЦ ИНФРА-М,2024 - 336 с.(п)</t>
  </si>
  <si>
    <t>ТЕХНОЛОГИЯ ЭНЕРГОСБЕРЕЖЕНИЯ, ИЗД.4</t>
  </si>
  <si>
    <t>978-5-16-012666-1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</si>
  <si>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специальностям 13.02.02 «Теплоснабжение и теплотехническое оборудование», 13.02.07 «Электроснабжение (по отраслям)», 13.02.03 «Электрические станции, сети и системы»</t>
  </si>
  <si>
    <t>094500.12.01</t>
  </si>
  <si>
    <t>Типовые технологии производства: Уч. пос. / Н.П. Молоканова. -М.: Форум,ИНФРА-М,2024. - 272 с. (ПО) (П)</t>
  </si>
  <si>
    <t>ТИПОВЫЕ ТЕХНОЛОГИИ ПРОИЗВОДСТВА</t>
  </si>
  <si>
    <t>978-5-91134-228-9</t>
  </si>
  <si>
    <t>15.02.16, 15.02.17, 24.02.02, 26.02.02, 26.02.04, 27.02.01, 27.02.02</t>
  </si>
  <si>
    <t>Допущено  Методическим советом Учебно-метод. центра по проф. обр. Департамента обр. г. Москвы в качестве учебного пос. для студентов обр. учреждений среднего проф. образования</t>
  </si>
  <si>
    <t>696940.03.01</t>
  </si>
  <si>
    <t>Товароведение и эксп.мясных тов.Лаб.практ.:Уч.пос./Ю.В.Данильчук-2 изд.-М.:НИЦ ИНФРА-М,2023-176(СПО)</t>
  </si>
  <si>
    <t>ТОВАРОВЕДЕНИЕ И ЭКСПЕРТИЗА МЯСНЫХ ТОВАРОВ. ЛАБОРАТОРНЫЙ ПРАКТИКУМ, ИЗД.2</t>
  </si>
  <si>
    <t>Данильчук Ю.В.</t>
  </si>
  <si>
    <t>978-5-16-014604-1</t>
  </si>
  <si>
    <t>19.01.18, 19.01.19, 19.02.10, 19.02.12, 19.02.13, 35.01.23, 38.02.08, 43.01.01, 43.01.04, 43.01.09, 43.02.15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</si>
  <si>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38.02.05 «Товароведение и экспертиза качества потребительских товаров»</t>
  </si>
  <si>
    <t>720415.02.01</t>
  </si>
  <si>
    <t>Товароведение и эксперт. вкусовых тов.: Уч.пос. / Т.Н.Иванова.-М.:НИЦ ИНФРА-М,2023.-240 с.(СПО)(П)</t>
  </si>
  <si>
    <t>ТОВАРОВЕДЕНИЕ И ЭКСПЕРТИЗА ВКУСОВЫХ ТОВАРОВ</t>
  </si>
  <si>
    <t>Иванова Т.Н., Евдокимова О.В., Красильникова Е.В. и др.</t>
  </si>
  <si>
    <t>978-5-16-015698-9</t>
  </si>
  <si>
    <t>19.01.18, 19.01.19, 19.02.10, 19.02.13, 35.01.23, 38.02.08, 43.01.01, 43.01.04, 43.01.09, 43.02.01, 43.02.15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</si>
  <si>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38.02.05 "Товароведение и экспертиза  качества потребительских товаров", 38.02.04 "Коммерция" (протокол № 5 от 26.03.2020)</t>
  </si>
  <si>
    <t>Кузбасский государственный аграрный университет</t>
  </si>
  <si>
    <t>683130.02.01</t>
  </si>
  <si>
    <t>Товароведение и экспертиза вкусовых товаров: Уч. / А.А.Вытовтов - М.:НИЦ ИНФРА-М,2023-576 с.(СПО)(П)</t>
  </si>
  <si>
    <t>Вытовтов А.А.</t>
  </si>
  <si>
    <t>978-5-16-014007-0</t>
  </si>
  <si>
    <t>19.01.18, 19.01.19, 19.02.12, 19.02.13, 38.02.08, 43.01.01, 43.01.04, 43.01.09, 43.02.01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</si>
  <si>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38.02.05 «Товароведение и экспертиза качества потребительских товаров» (протокол № 13 от 16.09.2019)</t>
  </si>
  <si>
    <t>Санкт-Петербургский технический колледж</t>
  </si>
  <si>
    <t>758110.02.01</t>
  </si>
  <si>
    <t>Товароведение и экспертиза доп. видов сырья живот. происхож.: Уч.пос. / М.В.Горбачева-М.:НИЦ ИНФРА-М,2022.-136 с.(П)</t>
  </si>
  <si>
    <t>ТОВАРОВЕДЕНИЕ И ЭКСПЕРТИЗА ДОПОЛНИТЕЛЬНЫХ ВИДОВ СЫРЬЯ ЖИВОТНОГО ПРОИСХОЖДЕНИЯ</t>
  </si>
  <si>
    <t>Горбачева М.В., Щербакова А.В.</t>
  </si>
  <si>
    <t>978-5-16-016980-4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</si>
  <si>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38.02.04 «Коммерция (по отраслям)», 38.02.05 «Товароведение и экспертиза качества потребительских товаров» (протокол № 12 от 14.12.2020)</t>
  </si>
  <si>
    <t>720427.03.01</t>
  </si>
  <si>
    <t>Товароведение и экспертиза зерномучных товаров: Уч. / Л.П.Нилова, - 2 изд.-М.:НИЦ ИНФРА-М,2024 - 448с(П)</t>
  </si>
  <si>
    <t>ТОВАРОВЕДЕНИЕ И ЭКСПЕРТИЗА ЗЕРНОМУЧНЫХ ТОВАРОВ, ИЗД.2</t>
  </si>
  <si>
    <t>Нилова Л.П.</t>
  </si>
  <si>
    <t>978-5-16-015701-6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</si>
  <si>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38.02.05 «Товароведение и экспертиза качества потребительских товаров» (протокол № 12 от 24.06.2019)</t>
  </si>
  <si>
    <t>Российская таможенная академия</t>
  </si>
  <si>
    <t>720421.03.01</t>
  </si>
  <si>
    <t>Товароведение и экспертиза пищевых концентратов...: Уч. / Т.Н.Иванова - 2 изд. - М.:НИЦ ИНФРА-М,2025. - 265 с.(П)</t>
  </si>
  <si>
    <t>ТОВАРОВЕДЕНИЕ И ЭКСПЕРТИЗА ПИЩЕВЫХ КОНЦЕНТРАТОВ И ПИЩЕВЫХ ДОБАВОК, ИЗД.2</t>
  </si>
  <si>
    <t>Иванова Т.Н., Позняковский В.М., Добровольский В.Ф.</t>
  </si>
  <si>
    <t>978-5-16-015700-9</t>
  </si>
  <si>
    <t>19.01.18, 19.01.19, 38.02.08, 43.01.01, 43.01.04, 43.01.09, 43.02.01</t>
  </si>
  <si>
    <t>841873.01.01</t>
  </si>
  <si>
    <t>Товароведение и экспертиза пушно-мехового... Прак.: Уч.пос. / Л.В.Орленко - М.:НИЦ ИНФРА-М,2026. - 216 с.(п)</t>
  </si>
  <si>
    <t>ТОВАРОВЕДЕНИЕ И ЭКСПЕРТИЗА ПУШНО-МЕХОВОГО СЫРЬЯ И МЕХОВЫХ ИЗДЕЛИЙ. ПРАКТИКУМ.</t>
  </si>
  <si>
    <t>978-5-16-020294-5</t>
  </si>
  <si>
    <t>29.02.10</t>
  </si>
  <si>
    <t>067440.13.01</t>
  </si>
  <si>
    <t>Товароведение и экспертиза товаров: Уч.пос. / Е.А.Замедлина - М.:ИЦ РИОР, НИЦ ИНФРА-М,2025 - 156 с.(О)</t>
  </si>
  <si>
    <t>ТОВАРОВЕДЕНИЕ И ЭКСПЕРТИЗА ТОВАРОВ</t>
  </si>
  <si>
    <t>Замедлина Е.А.</t>
  </si>
  <si>
    <t>978-5-9557-0269-8</t>
  </si>
  <si>
    <t>19.01.18, 19.01.19, 19.02.10, 19.02.13, 38.02.08, 43.01.01, 43.01.04, 43.01.09, 43.02.15</t>
  </si>
  <si>
    <t>845118.01.01</t>
  </si>
  <si>
    <t>Товароведение непродовольственных товаров: Уч.пос. / В.Н.Шитов - М.:НИЦ ИНФРА-М,2026. - 429 с.(СПО)(п)</t>
  </si>
  <si>
    <t>ТОВАРОВЕДЕНИЕ НЕПРОДОВОЛЬСТВЕННЫХ ТОВАРОВ</t>
  </si>
  <si>
    <t>978-5-16-020677-6</t>
  </si>
  <si>
    <t>СПО-2024, Победитель, III место</t>
  </si>
  <si>
    <t>683131.08.01</t>
  </si>
  <si>
    <t>Товароведение: Уч.пос. / Е.С.Григорян - М.:НИЦ ИНФРА-М,2026 - 265 с.-(СПО)(П)</t>
  </si>
  <si>
    <t>ТОВАРОВЕДЕНИЕ</t>
  </si>
  <si>
    <t>978-5-16-014008-7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</si>
  <si>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38.02.04 «Коммерция (по отраслям)», 38.02.05 «Товароведение и экспертиза качества потребительских товаров» (протокол № 3 от 11.02.2019)</t>
  </si>
  <si>
    <t>071850.18.01</t>
  </si>
  <si>
    <t>Торговое оборудование: Уч. пос. / В.Ф.Кащенко - М.:НИЦ ИНФРА-М,2024 - 398 с.(СПО)(П)</t>
  </si>
  <si>
    <t>ТОРГОВОЕ ОБОРУДОВАНИЕ</t>
  </si>
  <si>
    <t>Кащенко В.Ф., Кащенко Л.В.</t>
  </si>
  <si>
    <t>978-5-16-015381-0</t>
  </si>
  <si>
    <t>15.01.18, 15.02.06, 38.02.01, 38.02.03, 38.02.08</t>
  </si>
  <si>
    <t>Допущено Минобрнауки России в качестве учебного пособия для студентов образовательных учреждений среднего профессионального образования, обучающихся по торговым и экономическим специальностям</t>
  </si>
  <si>
    <t>757865.02.01</t>
  </si>
  <si>
    <t>Тракторы и авто. и с электронным управ.: Уч.пос. / А.В.Богатырев - М.:НИЦ ИНФРА-М,2025.-631 с.(СПО)(п)</t>
  </si>
  <si>
    <t>ТРАКТОРЫ И АВТОМОБИЛИ С ЭЛЕКТРОННЫМ УПРАВЛЕНИЕМ</t>
  </si>
  <si>
    <t>Богатырев А.В., Щукина В.Н.</t>
  </si>
  <si>
    <t>978-5-16-017189-0</t>
  </si>
  <si>
    <t>23.02.02, 35.01.01, 35.01.15, 35.02.07, 35.02.16</t>
  </si>
  <si>
    <t>683132.09.01</t>
  </si>
  <si>
    <t>Тракторы и автомобили: Уч. / А.В.Богатырев - М.:НИЦ ИНФРА-М,2026 -  425 с.(СПО)(П)</t>
  </si>
  <si>
    <t>ТРАКТОРЫ И АВТОМОБИЛИ</t>
  </si>
  <si>
    <t>Богатырев А.В., Лехтер В.Р.</t>
  </si>
  <si>
    <t>978-5-16-014009-4</t>
  </si>
  <si>
    <t>15.02.04, 19.02.11, 19.02.12, 21.02.12, 35.01.01, 35.01.15, 35.01.27, 35.01.30, 35.02.05, 35.02.07, 35.02.08, 35.02.16, 36.01.02, 36.02.03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</si>
  <si>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 специальностям 35.02.07 «Механизация сельского хозяйства», 23.02.02 «Автомобиле- и тракторостроение», 23.02.03 «Техническое обслуживание и ремонт автомобильного транспорта»</t>
  </si>
  <si>
    <t>776140.05.01</t>
  </si>
  <si>
    <t>Трудовое право: Уч. / Д.Р.Акопов - М.:НИЦ ИНФРА-М,2026. - 331 с.(СПО)(п)</t>
  </si>
  <si>
    <t>ТРУДОВОЕ ПРАВО</t>
  </si>
  <si>
    <t>Акопов Д.Р., Губенко М.И., Еремина С.Н. и др.</t>
  </si>
  <si>
    <t>978-5-16-018061-8</t>
  </si>
  <si>
    <t>24.02.01, 40.02.02, 40.02.04</t>
  </si>
  <si>
    <t>704238.03.01</t>
  </si>
  <si>
    <t>Трудовое право: Уч.пос. / А.В.Карпова - М.:НИЦ ИНФРА-М,2023 - 316 с.(СПО)(П)</t>
  </si>
  <si>
    <t>978-5-16-015455-8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</si>
  <si>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40.02.00 «Юриспруденция» (протокол № 1 от 20.01.2020)</t>
  </si>
  <si>
    <t>683134.06.01</t>
  </si>
  <si>
    <t>Туристские ресурсы России: Практикум / Н.Г.Можаева - М.:Форум, НИЦ ИНФРА-М,2025. - 112 с.(СПО)(О)</t>
  </si>
  <si>
    <t>ТУРИСТСКИЕ РЕСУРСЫ РОССИИ</t>
  </si>
  <si>
    <t>Можаева Н.Г.</t>
  </si>
  <si>
    <t>978-5-00091-560-8</t>
  </si>
  <si>
    <t>757838.06.01</t>
  </si>
  <si>
    <t>Туристское страноведение: Уч.пос. / П.В.Большаник - М.:НИЦ ИНФРА-М,2025 - 241 с.(СПО)(П)</t>
  </si>
  <si>
    <t>ТУРИСТСКОЕ СТРАНОВЕДЕНИЕ</t>
  </si>
  <si>
    <t>978-5-16-016923-1</t>
  </si>
  <si>
    <t>Рекомендовано Межрегиональным учебно-методическимсоветом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43.02.10 «Туризм», 43.02.11 «Гостиничный сервис» (протокол № 11 от 09.11.2020)</t>
  </si>
  <si>
    <t>705530.04.01</t>
  </si>
  <si>
    <t>Тяговые электр. системы автотрансп. средств: Уч. / Е.М.Овсянников - М:Форум,НИЦ ИНФРА-М,2023-303с(СПО)</t>
  </si>
  <si>
    <t>ТЯГОВЫЕ ЭЛЕКТРИЧЕСКИЕ СИСТЕМЫ АВТОТРАНСПОРТНЫХ СРЕДСТВ</t>
  </si>
  <si>
    <t>Овсянников Е.М., Фомин А.П.</t>
  </si>
  <si>
    <t>978-5-00091-677-3</t>
  </si>
  <si>
    <t>23.02.02, 23.02.03, 23.02.05, 23.02.07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</si>
  <si>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23.02.02 «Автомобиле- и тракторостроение», 23.02.03 «Техническое обслуживание и ремонт автомобильного транспорта», 23.02.04 «Техническая эксплуатация подъемно-транспортных, строительных, дорожных машин и оборудования (по отраслям)», 23.02.07 «Техническое обслуживание и ремонт двигателей, систем и агрегатов автомобилей»</t>
  </si>
  <si>
    <t>768939.05.01</t>
  </si>
  <si>
    <t>Уголовное право России. Общ. и Особ. части: Уч. / В.К.Дуюнов - М.:ИЦ РИОР, НИЦ ИНФРА-М,2025.-700 с.(СПО)(П)</t>
  </si>
  <si>
    <t>УГОЛОВНОЕ ПРАВО РОССИИ. ОБЩАЯ И ОСОБЕННАЯ ЧАСТИ</t>
  </si>
  <si>
    <t>Дуюнов В.К.</t>
  </si>
  <si>
    <t>978-5-369-01902-3</t>
  </si>
  <si>
    <t>Допущено Учебно-методическим объединением по юридическому образованию вузов РФ в качестве учебника для студентов высших учебных заведений, обучающихся по специальностям и направлению юридического профиля</t>
  </si>
  <si>
    <t>Тольяттинский государственный университет</t>
  </si>
  <si>
    <t>776288.03.01</t>
  </si>
  <si>
    <t>Уголовное право. Общая часть: Уч. / Под ред. Дворянскова И.В. - М.:НИЦ ИНФРА-М,2025 - 532 с.(СПО)(П)</t>
  </si>
  <si>
    <t>УГОЛОВНОЕ ПРАВО. ОБЩАЯ ЧАСТЬ</t>
  </si>
  <si>
    <t>Дворянсков И.В., Антонян Е.А., Боровиков С.А. и др.</t>
  </si>
  <si>
    <t>978-5-16-017622-2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</si>
  <si>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юридическим специальностям (протокол № 10 от 15.12.2021)</t>
  </si>
  <si>
    <t>Научно-исследовательский институт Федеральной службы исполнения наказаний</t>
  </si>
  <si>
    <t>803540.03.01</t>
  </si>
  <si>
    <t>Уголовное право. Особ. часть: Уч. / Под ред. Дворянскова И.В. - М.:НИЦ ИНФРА-М,2026. - 583 с.(СПО)(п)</t>
  </si>
  <si>
    <t>УГОЛОВНОЕ ПРАВО. ОСОБЕННАЯ ЧАСТЬ</t>
  </si>
  <si>
    <t>Авдалян А.Я., Борков В.Н., Бугера М.А. и др.</t>
  </si>
  <si>
    <t>978-5-16-018461-6</t>
  </si>
  <si>
    <t>АКАДЕМУС-2021, Победитель, III место</t>
  </si>
  <si>
    <t>776291.03.01</t>
  </si>
  <si>
    <t>Уголовно-исполнительное право: Уч. / Под ред. Дворянскова И.В. - М.:НИЦ ИНФРА-М,2024 - 380 с.(СПО)(П)</t>
  </si>
  <si>
    <t>УГОЛОВНО-ИСПОЛНИТЕЛЬНОЕ ПРАВО</t>
  </si>
  <si>
    <t>Абатуров А.И., Боровиков С.А., Дворянсков И.В. и др.</t>
  </si>
  <si>
    <t>978-5-16-017603-1</t>
  </si>
  <si>
    <t>00.02.08, 40.02.02, 40.02.04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</si>
  <si>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юридическим специальностям  (протокол № 10 от 15.12.2021)</t>
  </si>
  <si>
    <t>Кировский Институт повышения квалификации работников федеральной службы исполнения наказаний</t>
  </si>
  <si>
    <t>798338.03.01</t>
  </si>
  <si>
    <t>Уголовно-процессуал. право РФ: Прак. / Воскобитова Л.А. - М.:Юр.Норма, НИЦ ИНФРА-М,2026 - 352 с.(СПО)(п)</t>
  </si>
  <si>
    <t>УГОЛОВНО-ПРОЦЕССУАЛЬНОЕ ПРАВО РОССИЙСКОЙ ФЕДЕРАЦИИ</t>
  </si>
  <si>
    <t>Воскобитова Л.А., Антонович Е.К., Вилкова Т.Ю. и др.</t>
  </si>
  <si>
    <t>978-5-00156-414-0</t>
  </si>
  <si>
    <t>747294.02.01</t>
  </si>
  <si>
    <t>Управление данными в транспортных сис.: Уч.пос. / В.А.Гвоздева-М.:НИЦ ИНФРА-М,2023.-234 с.(СПО)(П)</t>
  </si>
  <si>
    <t>УПРАВЛЕНИЕ ДАННЫМИ В ТРАНСПОРТНЫХ СИСТЕМАХ</t>
  </si>
  <si>
    <t>978-5-16-016554-7</t>
  </si>
  <si>
    <t>23.02.01, 26.02.01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</si>
  <si>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23.00.00 «Техника и технологии наземного транспорта», 26.00.00 «Техника и технологии кораблестроения и водного транспорта» (протокол № 8 от 22.06.2020)</t>
  </si>
  <si>
    <t>719807.03.01</t>
  </si>
  <si>
    <t>Управление качеством информационных систем: Уч.пос. / Г.Н.Исаев-М.:НИЦ ИНФРА-М,2023.-248 с.(СПО)(П)</t>
  </si>
  <si>
    <t>УПРАВЛЕНИЕ КАЧЕСТВОМ ИНФОРМАЦИОННЫХ СИСТЕМ</t>
  </si>
  <si>
    <t>Исаев Г.Н.</t>
  </si>
  <si>
    <t>978-5-16-015650-7</t>
  </si>
  <si>
    <t>09.01.05, 09.02.01, 09.02.02, 09.02.03, 09.02.04, 09.02.05, 09.02.06, 09.02.07</t>
  </si>
  <si>
    <t>720383.03.01</t>
  </si>
  <si>
    <t>Управление качеством программного обесп.: Уч. / Б.В.Черников - М.:ИД ФОРУМ, НИЦ ИНФРА-М,2022 - 240с(СПО)(п)</t>
  </si>
  <si>
    <t>УПРАВЛЕНИЕ КАЧЕСТВОМ ПРОГРАММНОГО ОБЕСПЕЧЕНИЯ</t>
  </si>
  <si>
    <t>Черников Б.В.</t>
  </si>
  <si>
    <t>978-5-8199-0902-7</t>
  </si>
  <si>
    <t>719234.02.01</t>
  </si>
  <si>
    <t>Управление качеством. Практ.: Уч.пос. / Б.Н.Герасимов - М.:Вуз.уч., НИЦ ИНФРА-М,2026 - 208 с.(СПО)(П)</t>
  </si>
  <si>
    <t>УПРАВЛЕНИЕ КАЧЕСТВОМ. ПРАКТИКУМ</t>
  </si>
  <si>
    <t>Герасимов Б. Н., Чуриков Ю. В.</t>
  </si>
  <si>
    <t>978-5-9558-0635-8</t>
  </si>
  <si>
    <t>15.02.16, 38.02.01, 38.02.02, 38.02.03, 38.02.06, 38.02.08</t>
  </si>
  <si>
    <t>445950.06.01</t>
  </si>
  <si>
    <t>Управление качеством: проектир.: Уч. пос. /Б.И.Герасимов - М.: Форум:  НИЦ ИНФРА-М, 2024-176с.(СПО) (о)</t>
  </si>
  <si>
    <t>УПРАВЛЕНИЕ КАЧЕСТВОМ: ПРОЕКТИРОВАНИЕ</t>
  </si>
  <si>
    <t>Герасимов Б.И., Сизикин А.Ю., Герасимова Е.Б.</t>
  </si>
  <si>
    <t>978-5-91134-780-2</t>
  </si>
  <si>
    <t>15.02.16, 27.02.01, 27.02.02, 27.02.03, 27.02.04, 27.02.05, 35.02.18</t>
  </si>
  <si>
    <t>Рекомендовано Федеральным государственным унитарным предприятием «Российский научно-технический центр информации по стандартизации, метрологии и оценке соответствия» (ФГУП «СТАНДАРТИНФОРМ») в качестве учебного пособия для студентов образовательных уч</t>
  </si>
  <si>
    <t>429450.04.01</t>
  </si>
  <si>
    <t>Управление качеством: самооценка: Уч.пос. / Б.И.Герасимов.-М.:Форум, НИЦ ИНФРА-М,2023.-176 с.(О)</t>
  </si>
  <si>
    <t>УПРАВЛЕНИЕ КАЧЕСТВОМ: САМООЦЕНКА</t>
  </si>
  <si>
    <t>Герасимов Б.И., Сизикин А.Ю., Герасимова Е.Б. и др.</t>
  </si>
  <si>
    <t>Профессиональное образование. Бакалавриат</t>
  </si>
  <si>
    <t>978-5-91134-735-2</t>
  </si>
  <si>
    <t>15.02.16, 27.02.01, 27.02.02, 35.02.18</t>
  </si>
  <si>
    <t>719235.06.01</t>
  </si>
  <si>
    <t>Управление качеством: Уч. / Л.Е.Басовский - 3 изд. - М.:НИЦ ИНФРА-М,2025 - 231 с.-(СПО)(П)</t>
  </si>
  <si>
    <t>УПРАВЛЕНИЕ КАЧЕСТВОМ, ИЗД.3</t>
  </si>
  <si>
    <t>Басовский Л.Е., Протасьев В.Б.</t>
  </si>
  <si>
    <t>978-5-16-015607-1</t>
  </si>
  <si>
    <t>15.02.16, 23.02.01, 23.02.04, 23.02.07, 26.02.04, 27.02.07, 38.02.01, 38.02.03, 38.02.06, 38.02.08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</si>
  <si>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техническим, управленческим и экономическим специальностям (протокол № 12 от 24.06.2019)</t>
  </si>
  <si>
    <t>720762.02.01</t>
  </si>
  <si>
    <t>Управление качеством: Уч.пос. / В.Е.Магер - М.:НИЦ ИНФРА-М,2022 - 176 с.-(СПО)(П)</t>
  </si>
  <si>
    <t>УПРАВЛЕНИЕ КАЧЕСТВОМ</t>
  </si>
  <si>
    <t>Магер В.Е.</t>
  </si>
  <si>
    <t>978-5-16-014612-6</t>
  </si>
  <si>
    <t>27.02.01, 27.02.02, 27.02.03, 27.02.04, 27.02.05, 27.02.06, 27.02.07, 38.02.01, 38.02.02, 38.02.03, 38.02.06, 38.02.07, 38.02.08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</si>
  <si>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27.02.00 «Управление в технических системах», 38.02.00 «Экономика и управление» (протокол № 12 от 24.06.2019)</t>
  </si>
  <si>
    <t>086010.12.01</t>
  </si>
  <si>
    <t>Управление качеством: Уч.пос. / Герасимов Б.И. - 4 изд. - М.:Форум,НИЦ ИНФРА-М,2025 - 217с.-(СПО)(П)</t>
  </si>
  <si>
    <t>УПРАВЛЕНИЕ КАЧЕСТВОМ, ИЗД.4</t>
  </si>
  <si>
    <t>Герасимова Е.Б., Герасимов Б.И., Сизикин А.Ю. и др.</t>
  </si>
  <si>
    <t>978-5-00091-420-5</t>
  </si>
  <si>
    <t>12.02.03, 15.02.16, 18.02.04, 18.02.09, 18.02.13, 19.01.19, 19.02.12, 19.02.13, 26.02.02, 27.02.07, 35.02.18, 38.02.01, 38.02.02, 38.02.03, 38.02.06, 38.02.07, 38.02.08</t>
  </si>
  <si>
    <t>758687.01.01</t>
  </si>
  <si>
    <t>Управление персоналом гостинич. предпр.: Уч.пос. / И.С.Ключевская - М.:НИЦ ИНФРА-М,2021-386 с.(СПО)(П</t>
  </si>
  <si>
    <t>УПРАВЛЕНИЕ ПЕРСОНАЛОМ ГОСТИНИЧНОГО ПРЕДПРИЯТИЯ</t>
  </si>
  <si>
    <t>978-5-16-016998-9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</si>
  <si>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 43.02.11 «Гостиничный сервис», 43.02.14 «Гостиничное дело» (протокол № 12 от 14.12.2020)</t>
  </si>
  <si>
    <t>071570.23.01</t>
  </si>
  <si>
    <t>Управление персоналом: Уч. / Т.В.Зайцева - М.:ИД ФОРУМ, НИЦ ИНФРА-М,2024 - 336 с.(СПО)(П)</t>
  </si>
  <si>
    <t>УПРАВЛЕНИЕ ПЕРСОНАЛОМ</t>
  </si>
  <si>
    <t>Зайцева Т. В., Зуб А. Т.</t>
  </si>
  <si>
    <t>978-5-8199-0911-9</t>
  </si>
  <si>
    <t>08.02.01, 11.02.06, 11.02.07, 11.02.09, 11.02.11, 11.02.12, 11.02.15, 11.02.17, 11.02.18, 12.02.03, 13.02.01, 13.02.02, 13.02.05, 13.02.08, 13.02.09, 13.02.12, 13.02.13, 14.02.01, 14.02.02, 15.02.01, 15.02.16, 15.02.17, 18.02.04, 18.02.05, 18.02.07, 18.02.10, 18.02.12, 18.02.13, 18.02.14, 18.02.15, 19.02.10, 19.02.11, 19.02.12, 19.02.13, 19.02.14, 21.02.09, 21.02.12, 21.02.13, 21.02.14, 21.02.16, 21.02.20, 24.02.01, 24.02.02, 26.02.01, 26.02.02, 26.02.04, 26.02.05, 26.02.06, 29.02.02, 31.02.04, 35.02.10, 38.02.01, 38.02.03, 38.02.07, 38.02.08, 54.01.20</t>
  </si>
  <si>
    <t>Московский государственный университет им. М.В. Ломоносова, факультет государственного управления</t>
  </si>
  <si>
    <t>071570.24.01</t>
  </si>
  <si>
    <t>Управление персоналом: Уч. / Т.В.Зайцева, - 2 изд. - М.:НИЦ ИНФРА-М,2024. - 315 с.(СПО)(п)</t>
  </si>
  <si>
    <t>УПРАВЛЕНИЕ ПЕРСОНАЛОМ, ИЗД.2</t>
  </si>
  <si>
    <t>Зайцева Т.В., Зуб А.Т.</t>
  </si>
  <si>
    <t>978-5-16-020123-8</t>
  </si>
  <si>
    <t>719618.03.01</t>
  </si>
  <si>
    <t>Управление проектами информационных систем: Уч.пос. / Л.А.Сысоева-М.:НИЦ ИНФРА-М,2023-345с.-(СПО)(П)</t>
  </si>
  <si>
    <t>УПРАВЛЕНИЕ ПРОЕКТАМИ ИНФОРМАЦИОННЫХ СИСТЕМ</t>
  </si>
  <si>
    <t>Сысоева Л.А., Сатунина А.Е.</t>
  </si>
  <si>
    <t>978-5-16-015645-3</t>
  </si>
  <si>
    <t>09.02.04, 09.02.07</t>
  </si>
  <si>
    <t>114650.11.01</t>
  </si>
  <si>
    <t>Управление проектами: Уч. пос. / А.М. Афонин и др. - М.: Форум, 2025 - 184 с.(Проф. обр.) (о)</t>
  </si>
  <si>
    <t>УПРАВЛЕНИЕ ПРОЕКТАМИ</t>
  </si>
  <si>
    <t>Афонин А. М., Царегородцев Ю. Н., Петрова С. А.</t>
  </si>
  <si>
    <t>978-5-91134-372-9</t>
  </si>
  <si>
    <t>38.02.01, 38.02.03, 38.02.06, 38.02.08</t>
  </si>
  <si>
    <t>708043.09.01</t>
  </si>
  <si>
    <t>Управление техн. эксплуатацией зданий и сооруж.: Уч.пос. / Н.Я.Кузин - 2 изд. - М.:НИЦ ИНФРА-М,2026 - 248 с.(П)</t>
  </si>
  <si>
    <t>УПРАВЛЕНИЕ ТЕХНИЧЕСКОЙ ЭКСПЛУАТАЦИЕЙ ЗДАНИЙ И СООРУЖЕНИЙ, ИЗД.2</t>
  </si>
  <si>
    <t>Кузин Н. Я., Мищенко В. Н., Мищенко С. А.</t>
  </si>
  <si>
    <t>978-5-16-015214-1</t>
  </si>
  <si>
    <t>08.02.01, 08.02.02, 08.02.13, 08.02.14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</si>
  <si>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08.02.01 «Строительство и эксплуатация зданий и сооружений» (протокол № 2 от 28.01.2019)</t>
  </si>
  <si>
    <t>689280.07.01</t>
  </si>
  <si>
    <t>Управление электрохозяйством: Уч.пос. / В.Я.Хорольский - М.:Форум, НИЦ ИНФРА-М,2025 - 256 с.-(СПО)(П)</t>
  </si>
  <si>
    <t>УПРАВЛЕНИЕ ЭЛЕКТРОХОЗЯЙСТВОМ</t>
  </si>
  <si>
    <t>978-5-00091-616-2</t>
  </si>
  <si>
    <t>13.01.10, 13.02.01, 13.02.02, 13.02.07, 13.02.12, 35.01.15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</si>
  <si>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13.02.07 «Электроснабжение (по отраслям)», 13.02.10 «Электрические машины и аппараты», 13.02.11 «Техническая эксплуатация и обслуживание электрического и электромеханического оборудования (по отраслям)»</t>
  </si>
  <si>
    <t>060150.19.01</t>
  </si>
  <si>
    <t>Управленческая психология: Уч. / О.Д. Волкогонова - М.: ИД ФОРУМ:  НИЦ Инфра-М, 2025. - 352 с.(ПО)</t>
  </si>
  <si>
    <t>УПРАВЛЕНЧЕСКАЯ ПСИХОЛОГИЯ</t>
  </si>
  <si>
    <t>Волкогонова О. Д., Зуб А. Т.</t>
  </si>
  <si>
    <t>978-5-8199-0969-0</t>
  </si>
  <si>
    <t>Рекомендовано Министерством образования и науки РФ в качестве учебника для студентов учреждений среднего профессионального образования, обучающихся по группе специальностей "Экономика и управление"</t>
  </si>
  <si>
    <t>108430.08.01</t>
  </si>
  <si>
    <t>Управленческие решения: Уч.пос. / А.Л.Ломакин. - 2 изд. - М.:Форум,НИЦ ИНФРА-М,2024 - 176 с.(СПО)(о)</t>
  </si>
  <si>
    <t>УПРАВЛЕНЧЕСКИЕ РЕШЕНИЯ, ИЗД.2</t>
  </si>
  <si>
    <t>Ломакин А. Л., Буров В. П., Морошкин В. А.</t>
  </si>
  <si>
    <t>978-5-91134-345-3</t>
  </si>
  <si>
    <t>27.00.00, 38.00.00, 00.02.38, 11.02.18, 21.02.15</t>
  </si>
  <si>
    <t>719349.06.01</t>
  </si>
  <si>
    <t>Урок технологии в начальной школе...: Уч.мет.пос. / Е.В.Алексеенко - М.:НИЦ ИНФРА-М,2026. - 202 с.(СПО)(п)</t>
  </si>
  <si>
    <t>УРОК ТЕХНОЛОГИИ В НАЧАЛЬНОЙ ШКОЛЕ. ОРГАНИЗАЦИОННО-МЕТОДИЧЕСКОЕ ОБЕСПЕЧЕНИЕ УЧЕБНОГО ПРОЦЕССА</t>
  </si>
  <si>
    <t>Алексеенко Е.В.</t>
  </si>
  <si>
    <t>978-5-16-015623-1</t>
  </si>
  <si>
    <t>44.02.01, 44.02.02, 44.02.03, 44.02.04, 44.02.05, 54.02.06</t>
  </si>
  <si>
    <t>Рекомендовано Межрегиональным учебно-методическим советом профессионального образования в качестве учебно-методического пособия для учебных заведений, реализующих программу среднего профессионального образования по специальности 44.02.02 «Преподавание в начальных классах» (протокол № 12 от 24.06.2019)</t>
  </si>
  <si>
    <t>157800.11.01</t>
  </si>
  <si>
    <t>Уроки поэзии: Поэтич. шедевры рус. поэтов XVIII...: Уч. пос. / Г.А.Обернихина-ИНФРА-М, 2024 - 464 с.(СПО) (П)</t>
  </si>
  <si>
    <t>УРОКИ ПОЭЗИИ: ПОЭТИЧЕСКИЕ ШЕДЕВРЫ РУССКИХ ПОЭТОВ XVIII - XIX ВВ.</t>
  </si>
  <si>
    <t>Обернихина Г. А., Обернихин В. А., Обернихина Г. А.</t>
  </si>
  <si>
    <t>978-5-16-004784-3</t>
  </si>
  <si>
    <t>00.02.09</t>
  </si>
  <si>
    <t>143150.15.01</t>
  </si>
  <si>
    <t>Устройство автомобилей. Сб. тест. заданий: Уч.пос. / В.А.Стуканов - М.:ИД Форум,НИЦ ИНФРА-М,2025 - 192 с.(О)</t>
  </si>
  <si>
    <t>УСТРОЙСТВО АВТОМОБИЛЕЙ. СБОРНИК ТЕСТОВЫХ ЗАДАНИЙ</t>
  </si>
  <si>
    <t>Стуканов В.А.</t>
  </si>
  <si>
    <t>978-5-8199-0931-7</t>
  </si>
  <si>
    <t>Рекомендовано Министерством образования и науки в качестве учебного пособия для студентов средних специальных учебных заведений, обучающихся по специальности «Техническое обслуживание и ремонт автомобильного транспорта»</t>
  </si>
  <si>
    <t>071900.22.01</t>
  </si>
  <si>
    <t>Устройство автомобилей: Уч. пос. / В.А.Стуканов - М.:НИЦ ИНФРА-М,2026. - 496 с.(СПО)(п)</t>
  </si>
  <si>
    <t>УСТРОЙСТВО АВТОМОБИЛЕЙ</t>
  </si>
  <si>
    <t>Стуканов В.А., Леонтьев К.Н.</t>
  </si>
  <si>
    <t>978-5-16-021150-3</t>
  </si>
  <si>
    <t>15.02.04, 23.01.03, 23.01.17, 23.02.02, 23.02.03, 23.02.07</t>
  </si>
  <si>
    <t>059200.19.01</t>
  </si>
  <si>
    <t>Устройство автомобиля: Уч.пос. / В.П.Передерий - М.:НИЦ ИНФРА-М,2025 - 286 с.(п) (СПО)</t>
  </si>
  <si>
    <t>УСТРОЙСТВО АВТОМОБИЛЯ</t>
  </si>
  <si>
    <t>Передерий В. П.</t>
  </si>
  <si>
    <t>978-5-16-020051-4</t>
  </si>
  <si>
    <t>23.02.02, 23.02.03, 35.01.01, 35.02.01, 35.02.07, 44.02.06</t>
  </si>
  <si>
    <t>Московская академия экономики и права</t>
  </si>
  <si>
    <t>059160.13.01</t>
  </si>
  <si>
    <t>Устройство и функционир. информ. систем: Уч.пос./ Н.З.Емельянова -2 изд.-М:Форум,2023-448с.(ПО) (п)</t>
  </si>
  <si>
    <t>УСТРОЙСТВО И ФУНКЦИОНИРОВАНИЕ ИНФОРМАЦИОННЫХ СИСТЕМ, ИЗД.2</t>
  </si>
  <si>
    <t>978-5-91134-662-1</t>
  </si>
  <si>
    <t>08.02.01, 09.01.04, 09.01.05, 09.02.01, 09.02.04, 09.02.06, 10.02.03, 11.02.14, 26.01.05, 46.01.02, 46.01.03</t>
  </si>
  <si>
    <t>Рекомендовано в качестве учебного пособия для студентов учреждений среднего профессионального образования, обучающихся по специальности 09.02.04 «Информационные системы (по отраслям)»</t>
  </si>
  <si>
    <t>657021.12.01</t>
  </si>
  <si>
    <t>Устройство, тех. обслуж. и ремонт авто.: Уч.пос. / В.М.Виноградов - М.:КУРС, НИЦ ИНФРА-М,2026 - 376 с.(п)</t>
  </si>
  <si>
    <t>УСТРОЙСТВО, ТЕХНИЧЕСКОЕ ОБСЛУЖИВАНИЕ И РЕМОНТ АВТОМОБИЛЕЙ</t>
  </si>
  <si>
    <t>Виноградов В.М.</t>
  </si>
  <si>
    <t>978-5-906923-31-8</t>
  </si>
  <si>
    <t>640314.05.01</t>
  </si>
  <si>
    <t>Участие в планир.и организации работ...: Уч. / В.П.Зверева - М.:КУРС, НИЦ ИНФРА-М,2023 - 320 с.(П)</t>
  </si>
  <si>
    <t>УЧАСТИЕ В ПЛАНИРОВАНИИ И ОРГАНИЗАЦИИ РАБОТ ПО ОБЕСПЕЧЕНИЮ ЗАЩИТЫ ОБЪЕКТА.</t>
  </si>
  <si>
    <t>978-5-906818-92-8</t>
  </si>
  <si>
    <t>10.02.01, 10.02.03</t>
  </si>
  <si>
    <t>771913.01.01</t>
  </si>
  <si>
    <t>Учебный исслед. проект по физике на базе открытых данных: Уч.пос. / И.В.Кузнецова-М.:НИЦ ИНФРА-М,2022.-134 с.(П)</t>
  </si>
  <si>
    <t>УЧЕБНЫЙ ИССЛЕДОВАТЕЛЬСКИЙ ПРОЕКТ ПО ФИЗИКЕ НА БАЗЕ ОТКРЫТЫХ ДАННЫХ</t>
  </si>
  <si>
    <t>Кузнецова И.В., Прохоров М.Е.</t>
  </si>
  <si>
    <t>978-5-16-017433-4</t>
  </si>
  <si>
    <t>00.02.10, 00.02.20, 00.02.23, 10.02.04, 25.02.01, 52.02.01, 52.02.02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</si>
  <si>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образовательную программу среднего профессионального образования (протокол № 7 от 22.09.2021)</t>
  </si>
  <si>
    <t>682890.05.01</t>
  </si>
  <si>
    <t>Учет затрат и калькулирование себестоимости: Уч.пос. / Н.Н.Бондина - М.:НИЦ ИНФРА-М,2026 - 254 с.(СПО)(П)</t>
  </si>
  <si>
    <t>УЧЕТ ЗАТРАТ И КАЛЬКУЛИРОВАНИЕ СЕБЕСТОИМОСТИ</t>
  </si>
  <si>
    <t>Бондина Н.Н., Бондин И.А., Павлова И.В. и др.</t>
  </si>
  <si>
    <t>978-5-16-013932-6</t>
  </si>
  <si>
    <t>35.01.23, 38.01.01, 38.02.01, 38.02.03, 43.01.09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</si>
  <si>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38.02.01 «Экономика и бухгалтерский учет (по отраслям)»</t>
  </si>
  <si>
    <t>090200.15.01</t>
  </si>
  <si>
    <t>Физика в примерах и задачах: Уч.пос. / Е.И.Дмитриева - 2 изд. - М.:Форум:НИЦ Инфра-М, 2025 - 512 с.(ПО) (П)</t>
  </si>
  <si>
    <t>ФИЗИКА В ПРИМЕРАХ И ЗАДАЧАХ, ИЗД.2</t>
  </si>
  <si>
    <t>Дмитриева Е. И., Иевлева Л. Д., Костюченко Л. Д.</t>
  </si>
  <si>
    <t>978-5-91134-712-3</t>
  </si>
  <si>
    <t>083430.15.01</t>
  </si>
  <si>
    <t>Физика: лаб. работы с воп. и заданиями: Уч.пос. / О.М.Тарасов, - 2 изд. - М.:Форум, НИЦ ИНФРА-М,2026. - 97 с.(О)</t>
  </si>
  <si>
    <t>ФИЗИКА: ЛАБОРАТОРНЫЕ РАБОТЫ С ВОПРОСАМИ И ЗАДАНИЯМИ, ИЗД.2</t>
  </si>
  <si>
    <t>Тарасов О.М.</t>
  </si>
  <si>
    <t>978-5-00091-472-4</t>
  </si>
  <si>
    <t>00.02.23, 10.02.04, 25.02.01, 31.02.01, 52.02.01, 52.02.02</t>
  </si>
  <si>
    <t>700862.03.01</t>
  </si>
  <si>
    <t>Физика: практикум в Excel: Уч..пос. / О.А.Сдвижков-М.:НИЦ ИНФРА-М,2024.-274 с.(СПО)(п)</t>
  </si>
  <si>
    <t>ФИЗИКА: ПРАКТИКУМ В EXCEL</t>
  </si>
  <si>
    <t>Сдвижков О.А., Мацнев Н.П.</t>
  </si>
  <si>
    <t>978-5-16-015002-4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</si>
  <si>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профессиональную программу среднего профессионального образования на базе основного общего образования (протокол № 2 от 17.02.2021)</t>
  </si>
  <si>
    <t>038040.22.01</t>
  </si>
  <si>
    <t>Физика: Уч. / А.А.Пинский и др., - 4 изд. - М.:Форум, НИЦ ИНФРА-М,2026. - 560 с.(СПО)(п)</t>
  </si>
  <si>
    <t>ФИЗИКА, ИЗД.4</t>
  </si>
  <si>
    <t>Пинский А.А., Граковский Г.Ю., Дик Ю.И. и др.</t>
  </si>
  <si>
    <t>978-5-00091-739-8</t>
  </si>
  <si>
    <t>Рекомендовано Министерством образования Российской Федерации в качестве учебника для студентов учреждений среднего профессионального образования</t>
  </si>
  <si>
    <t>Российская академия образования</t>
  </si>
  <si>
    <t>217800.08.01</t>
  </si>
  <si>
    <t>Физика: Уч.пос. / О.М.Тарасов-М.:Форум, НИЦ ИНФРА-М,2024.-432 с.(СПО)(П)</t>
  </si>
  <si>
    <t>ФИЗИКА</t>
  </si>
  <si>
    <t>Тарасов О. М.</t>
  </si>
  <si>
    <t>978-5-91134-777-2</t>
  </si>
  <si>
    <t>Рекомендовано Экспертным советом при ГБОУ УМЦ по профессиональному образованию Департамента образования города Москвы для использования в образовательном процессе учреждений среднего профессионального образования города Москвы</t>
  </si>
  <si>
    <t>719504.07.01</t>
  </si>
  <si>
    <t>Физиологические основы здоровья: Уч.пос. / Н.П.Абаскалова - 2 изд. - М.:НИЦ ИНФРА-М,2026 - 351 с.(СПО)(П)</t>
  </si>
  <si>
    <t>ФИЗИОЛОГИЧЕСКИЕ ОСНОВЫ ЗДОРОВЬЯ, ИЗД.2</t>
  </si>
  <si>
    <t>Абаскалова Н.П., Айзман Р.И., Боровец Е.Н. и др.</t>
  </si>
  <si>
    <t>978-5-16-015639-2</t>
  </si>
  <si>
    <t>00.01.05, 00.02.14, 00.02.15, 31.01.01, 31.02.01, 31.02.02, 31.02.03, 31.02.04, 31.02.05, 31.02.06, 32.02.01, 34.01.01, 34.02.01, 34.02.02, 44.02.01, 44.02.02, 44.02.03, 44.02.04, 44.02.05, 44.02.06</t>
  </si>
  <si>
    <t>842428.01.01</t>
  </si>
  <si>
    <t>Физиология физкультурно-оздор. деят.: Уч. / Л.К.Караулова - М.:НИЦ ИНФРА-М,2025. - 336 с.(СПО)(п)</t>
  </si>
  <si>
    <t>ФИЗИОЛОГИЯ ФИЗКУЛЬТУРНО-ОЗДОРОВИТЕЛЬНОЙ ДЕЯТЕЛЬНОСТИ</t>
  </si>
  <si>
    <t>Караулова Л.К.</t>
  </si>
  <si>
    <t>978-5-16-020342-3</t>
  </si>
  <si>
    <t>31.02.01, 31.02.02, 31.02.03, 31.02.04, 31.02.06, 32.02.01, 33.02.01, 34.02.01, 42.02.12, 43.02.04, 44.02.03, 49.02.01</t>
  </si>
  <si>
    <t>730655.08.01</t>
  </si>
  <si>
    <t>Физическая культура: Уч.мет.пос. / Ю.С.Филиппова - М.:НИЦ ИНФРА-М,2026 - 197 с.(СПО)(П)</t>
  </si>
  <si>
    <t>ФИЗИЧЕСКАЯ КУЛЬТУРА</t>
  </si>
  <si>
    <t>Филиппова Ю.С.</t>
  </si>
  <si>
    <t>978-5-16-015948-5</t>
  </si>
  <si>
    <t>00.01.05, 00.02.14, 09.01.03, 09.01.05, 21.02.12, 27.02.06, 44.02.01, 44.02.02, 49.02.01, 49.02.02, 49.02.03</t>
  </si>
  <si>
    <t>758396.02.01</t>
  </si>
  <si>
    <t>Физические основы измерений и эталоны: Уч.пос. / А.А.Афанасьев - М.:НИЦ ИНФРА-М,2023 - 246 с.(СПО)(П)</t>
  </si>
  <si>
    <t>ФИЗИЧЕСКИЕ ОСНОВЫ ИЗМЕРЕНИЙ И ЭТАЛОНЫ</t>
  </si>
  <si>
    <t>978-5-16-016982-8</t>
  </si>
  <si>
    <t>15.02.04, 15.02.07, 15.02.10, 15.02.16, 15.02.18, 27.02.01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</si>
  <si>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27.00.00 «Управление в технических системах» (протокол № 12 от 14.12.2020)</t>
  </si>
  <si>
    <t>700912.07.01</t>
  </si>
  <si>
    <t>Физическое воспитание детей дош. и...: Уч.мет.пос. / С.В.Гурьев - М.:НИЦ ИНФРА-М,2026 - 218 с.-(П)</t>
  </si>
  <si>
    <t>ФИЗИЧЕСКОЕ ВОСПИТАНИЕ ДЕТЕЙ ДОШКОЛЬНОГО И МЛАДШЕГО ШКОЛЬНОГО ВОЗРАСТА</t>
  </si>
  <si>
    <t>Гурьев С.В.</t>
  </si>
  <si>
    <t>978-5-16-014873-1</t>
  </si>
  <si>
    <t>00.01.05, 00.02.14, 44.02.01, 44.02.02, 44.02.04, 44.02.05, 49.02.01, 49.02.02, 49.02.03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</si>
  <si>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44.02.01 «Дошкольное образование», 44.02.02 «Преподавание в начальных классах» (протокол № 2 от 03.02.2020)</t>
  </si>
  <si>
    <t>Российский государственный профессионально-педагогический университет</t>
  </si>
  <si>
    <t>849927.02.01</t>
  </si>
  <si>
    <t>Философия для юристов: Уч. / О.Ю.Рыбаков - М.:Юр.Норма, НИЦ ИНФРА-М,2026 - 368 с.(СПО)(п)</t>
  </si>
  <si>
    <t>ФИЛОСОФИЯ ДЛЯ ЮРИСТОВ</t>
  </si>
  <si>
    <t>Рыбаков О.Ю.</t>
  </si>
  <si>
    <t>978-5-00156-416-4</t>
  </si>
  <si>
    <t>720470.05.01</t>
  </si>
  <si>
    <t>Финансовое планир. и бюджетирование: Уч.пос. / Незамайкин В.Н. - 2 изд.-М.:НИЦ ИНФРА-М,2023.-112с(О)</t>
  </si>
  <si>
    <t>ФИНАНСОВОЕ ПЛАНИРОВАНИЕ И БЮДЖЕТИРОВАНИЕ, ИЗД.2</t>
  </si>
  <si>
    <t>Незамайкин В.Н., Платонова Н.А., Поморцева И.М. и др.</t>
  </si>
  <si>
    <t>978-5-16-015705-4</t>
  </si>
  <si>
    <t>720470.07.01</t>
  </si>
  <si>
    <t>Финансовое планир. и бюджетирование: Уч.пос. / Незамайкин В.Н. - 3 изд. - М.:НИЦ ИНФРА-М,2025. - 121 с.(СПО)(о)</t>
  </si>
  <si>
    <t>ФИНАНСОВОЕ ПЛАНИРОВАНИЕ И БЮДЖЕТИРОВАНИЕ, ИЗД.3</t>
  </si>
  <si>
    <t>978-5-16-020827-5</t>
  </si>
  <si>
    <t>029982.15.01</t>
  </si>
  <si>
    <t>Финансовое право: Уч. / Е.Ю.Грачева - 5 изд. - М.:Норма: НИЦ Инфра-М, 2023-272с(Ab ovo)(П) (СПО)</t>
  </si>
  <si>
    <t>ФИНАНСОВОЕ ПРАВО, ИЗД.5</t>
  </si>
  <si>
    <t>Грачева Е. Ю., Соколова Э. Д.</t>
  </si>
  <si>
    <t>978-5-91768-952-4</t>
  </si>
  <si>
    <t>029982.18.01</t>
  </si>
  <si>
    <t>Финансовое право: Уч. / Е.Ю.Грачева - 6 изд. - М.:Норма: НИЦ Инфра-М, 2026  - 256 с.(Ab ovo)(П) (СПО)</t>
  </si>
  <si>
    <t>ФИНАНСОВОЕ ПРАВО, ИЗД.6</t>
  </si>
  <si>
    <t>978-5-00156-319-8</t>
  </si>
  <si>
    <t>0623</t>
  </si>
  <si>
    <t>046270.14.01</t>
  </si>
  <si>
    <t>Финансовое право: Уч. пос./ Е.И. Майорова - 4 изд. - М.: ИД ФОРУМ:  НИЦ ИНФРА-М, 2020. - 288 с. (ПО)</t>
  </si>
  <si>
    <t>ФИНАНСОВОЕ ПРАВО, ИЗД.4</t>
  </si>
  <si>
    <t>Майорова Е. И., Хроленкова Л. В.</t>
  </si>
  <si>
    <t>978-5-8199-0621-7</t>
  </si>
  <si>
    <t>38.02.06, 38.02.07, 40.02.04</t>
  </si>
  <si>
    <t>Допущено Министерством образования и науки Российской Федерации в качестве учебного пособия для студентов учебных заведений среднего профессионального образования, обучающихся по специальностям правоеедческого профиля</t>
  </si>
  <si>
    <t>776748.01.01</t>
  </si>
  <si>
    <t>Финансово-экономич. планир. в секторе гос...: Уч.пос. / О.А.Братухина - М.:НИЦ ИНФРА-М,2025. - 473 с.(СПО)(п)</t>
  </si>
  <si>
    <t>ФИНАНСОВО-ЭКОНОМИЧЕСКОЕ ПЛАНИРОВАНИЕ В СЕКТОРЕ ГОСУДАРСТВЕННОГО И МУНИЦИПАЛЬНОГО УПРАВЛЕНИЯ И ОРГАНИЗАЦИИ ИСПОЛНЕНИЯ БЮДЖЕТОВ БЮДЖЕТНОЙ СИСТЕМЫ РОССИЙ</t>
  </si>
  <si>
    <t>Братухина О.А.</t>
  </si>
  <si>
    <t>978-5-16-018628-3</t>
  </si>
  <si>
    <t>Тюменский колледж экономики, управления и права</t>
  </si>
  <si>
    <t>712983.01.01</t>
  </si>
  <si>
    <t>Финансовые операции гос. и муницип. орг. власти: Уч.пос. / А.Ю.Баранова-М.:НИЦ ИНФРА-М,2019-135с(П)</t>
  </si>
  <si>
    <t>ФИНАНСОВЫЕ ОПЕРАЦИИ ГОСУДАРСТВЕННЫХ И МУНИЦИПАЛЬНЫХ ОРГАНОВ ВЛАСТИ</t>
  </si>
  <si>
    <t>Баранова А.Ю.</t>
  </si>
  <si>
    <t>978-5-16-015396-4</t>
  </si>
  <si>
    <t>741559.01.01</t>
  </si>
  <si>
    <t>Финансовый и банковский менеджмент: Уч. / Я.Ю.Радюкова.-М.:НИЦ ИНФРА-М,2023.-421 с.(СПО)(п)</t>
  </si>
  <si>
    <t>ФИНАНСОВЫЙ И БАНКОВСКИЙ МЕНЕДЖМЕНТ</t>
  </si>
  <si>
    <t>Радюкова Я.Ю., Чернышова О.Н., Федорова А.Ю. и др.</t>
  </si>
  <si>
    <t>978-5-16-016825-8</t>
  </si>
  <si>
    <t>38.02.01, 38.02.06, 38.02.07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</si>
  <si>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38.02.06 «Финансы», 38.02.07 «Банковское дело» (протокол № 7 от 21.09.2022)</t>
  </si>
  <si>
    <t>839078.01.01</t>
  </si>
  <si>
    <t>Финансовый контроль деят. экономич. субъекта: Уч. / Н.Г.Гаджиев - М.:НИЦ ИНФРА-М,2025. - 396 с.(СПО)(п)</t>
  </si>
  <si>
    <t>ФИНАНСОВЫЙ КОНТРОЛЬ ДЕЯТЕЛЬНОСТИ ЭКОНОМИЧЕСКОГО СУБЪЕКТА</t>
  </si>
  <si>
    <t>978-5-16-020389-8</t>
  </si>
  <si>
    <t>736052.07.01</t>
  </si>
  <si>
    <t>Финансы организаций (предприятий): Уч.пос. / Е.Н.Карпова - М.:НИЦ ИНФРА-М,2025 - 285 с.-(СПО)(П)</t>
  </si>
  <si>
    <t>ФИНАНСЫ ОРГАНИЗАЦИЙ (ПРЕДПРИЯТИЙ)</t>
  </si>
  <si>
    <t>Карпова Е.Н., Чумаченко Е.А.</t>
  </si>
  <si>
    <t>978-5-16-016205-8</t>
  </si>
  <si>
    <t>38.02.01, 38.02.02, 38.02.03, 38.02.06, 38.02.07, 38.02.08, 42.02.08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</si>
  <si>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19 от 09.12.2019)</t>
  </si>
  <si>
    <t>636129.07.01</t>
  </si>
  <si>
    <t>Финансы организаций: Уч. / А.М.Фридман - М.:ИЦ РИОР, НИЦ ИНФРА-М,2024 - 202 с.(СПО)(О)</t>
  </si>
  <si>
    <t>ФИНАНСЫ ОРГАНИЗАЦИЙ</t>
  </si>
  <si>
    <t>978-5-369-01638-1</t>
  </si>
  <si>
    <t>050070.25.01</t>
  </si>
  <si>
    <t>Финансы, денежное обр. и кредит: Уч. / В.П.Климович - 4 изд.-М.:ИД ФОРУМ, НИЦ ИНФРА-М,2024-336с.(СПО)(П)</t>
  </si>
  <si>
    <t>ФИНАНСЫ, ДЕНЕЖНОЕ ОБРАЩЕНИЕ И КРЕДИТ, ИЗД.4</t>
  </si>
  <si>
    <t>Климович В. П.</t>
  </si>
  <si>
    <t>978-5-8199-0701-6</t>
  </si>
  <si>
    <t>21.02.19, 38.02.02, 38.02.03, 38.02.06, 38.02.07, 42.02.02</t>
  </si>
  <si>
    <t>Допущено Министерством образования и науки Российской Федерации в качестве учебника для студентов учебных заведений среднего профессионального образования, обучающихся по группе специальностей «Экономика и управление»</t>
  </si>
  <si>
    <t>072350.18.01</t>
  </si>
  <si>
    <t>Финансы, денежное обращение и кредит: Уч. / В.А.Галанов - 2изд-М.:Форум, НИЦ ИНФРА-М,2024-414c.(ПО)(п)</t>
  </si>
  <si>
    <t>ФИНАНСЫ, ДЕНЕЖНОЕ ОБРАЩЕНИЕ И КРЕДИТ, ИЗД.2</t>
  </si>
  <si>
    <t>Галанов В.А.</t>
  </si>
  <si>
    <t>978-5-91134-552-5</t>
  </si>
  <si>
    <t>38.02.01, 38.02.02, 38.02.03, 38.02.06, 38.02.07, 46.02.01</t>
  </si>
  <si>
    <t>749697.01.01</t>
  </si>
  <si>
    <t>Финансы, денежное обращение и кредит: Уч.пос. / Под ред. Коршуновой Л.Н.-М.:НИЦ ИНФРА-М,2023.-261 с.(п)</t>
  </si>
  <si>
    <t>ФИНАНСЫ, ДЕНЕЖНОЕ ОБРАЩЕНИЕ И КРЕДИТ</t>
  </si>
  <si>
    <t>Коршунова Л.Н., Проданова Н.А., Зацаринная Е.И. и др.</t>
  </si>
  <si>
    <t>978-5-16-017036-7</t>
  </si>
  <si>
    <t>Национальный Исследовательский Технологический Университет "МИСИС"</t>
  </si>
  <si>
    <t>256500.16.01</t>
  </si>
  <si>
    <t>Флористика: технологии аранжировки композиций: Уч.пос. / Д.Г.Брашнов - М.:НИЦ ИНФРА-М,2026. - 221 с.(СПО)(П)</t>
  </si>
  <si>
    <t>ФЛОРИСТИКА: ТЕХНОЛОГИИ АРАНЖИРОВКИ КОМПОЗИЦИЙ</t>
  </si>
  <si>
    <t>Брашнов Д.Г.</t>
  </si>
  <si>
    <t>978-5-16-017496-9</t>
  </si>
  <si>
    <t>38.02.02, 42.02.01, 43.01.11, 43.02.02, 52.02.03, 52.02.04, 52.02.05, 54.01.01, 54.01.06, 54.01.12, 54.01.20, 54.02.01, 54.02.02, 54.02.04, 54.02.06, 54.02.08</t>
  </si>
  <si>
    <t>Рекомендовано федеральным государственным автономным учреждением «Федеральный институт развития образования» (ФГАУ «ФИРО») в качестве учебного пособия для использования в учебном процессе образовательных учреждений, реализующих программу СПО (регистрационный номер рецензии 403 от 23.09.2013)</t>
  </si>
  <si>
    <t>054300.15.01</t>
  </si>
  <si>
    <t>Фонетико-орфографич. справ. англ. яз.: Уч.пос. / О.М.Корчажкина - М.:НИЦ ИНФРА-М,2026. - 256 с.(п)</t>
  </si>
  <si>
    <t>ФОНЕТИКО-ОРФОГРАФИЧЕСКИЙ СПРАВОЧНИК АНГЛИЙСКОГО ЯЗЫКА</t>
  </si>
  <si>
    <t>Корчажкина О.М., Тихонова Р.М.</t>
  </si>
  <si>
    <t>5-8199-0132-0</t>
  </si>
  <si>
    <t>00.01.02, 00.02.02</t>
  </si>
  <si>
    <t>Допущено УМО по специальностям педагогического образования в качестве учебного пособия для студентов вузов, обучающихся по специальности 033200 - иностранный язык</t>
  </si>
  <si>
    <t>Средняя общеобразовательная школа №1298 г. Москвы</t>
  </si>
  <si>
    <t>703215.03.01</t>
  </si>
  <si>
    <t>Формообразование и режущие инструменты: Уч.пос. / А.Н.Овсеенко-М.:Форум, НИЦ ИНФРА-М,2023 -416 с.(П)</t>
  </si>
  <si>
    <t>ФОРМООБРАЗОВАНИЕ И РЕЖУЩИЕ ИНСТРУМЕНТЫ</t>
  </si>
  <si>
    <t>Овсеенко А.Н., Клауч Д.Н., Кирсанов С.В. и др.</t>
  </si>
  <si>
    <t>978-5-00091-661-2</t>
  </si>
  <si>
    <t>12.02.04, 15.02.01, 15.02.07, 15.02.09, 15.02.16, 15.02.17, 15.02.18</t>
  </si>
  <si>
    <t>407400.05.01</t>
  </si>
  <si>
    <t>Фотодело: Уч.пос. / А.В.Левкина - М.:Альфа-М, НИЦ ИНФРА-М,2017 - 319 с.-(ПРОФИль)(п)</t>
  </si>
  <si>
    <t>ФОТОДЕЛО</t>
  </si>
  <si>
    <t>978-5-98281-319-0</t>
  </si>
  <si>
    <t>Рекомендовано федеральным государственным автономным учреждением «Федеральный институт развития образования» (ФГАУ «ФИРО») в качестве учебного пособия для использования в учебном процессе образовательных учреждений, реализующих программу СПО по специальности 54.02.08 «Техника и искусство фотографии»</t>
  </si>
  <si>
    <t>067250.17.01</t>
  </si>
  <si>
    <t>Химия воды и микробиология: Уч. / А.Л.Ивчатов - М.:НИЦ ИНФРА-М,2025 - 218 с.-(СПО)(П)</t>
  </si>
  <si>
    <t>ХИМИЯ ВОДЫ И МИКРОБИОЛОГИЯ</t>
  </si>
  <si>
    <t>Ивчатов А. Л., Малов В. И.</t>
  </si>
  <si>
    <t>978-5-16-006616-5</t>
  </si>
  <si>
    <t>08.01.29, 08.02.01, 08.02.04, 35.01.16, 35.01.33, 35.02.09</t>
  </si>
  <si>
    <t>Допущено Федеральным агентством по строительству и жилищно-коммунальному хозяйству в качестве учебника для студентов средних специальных учебных заведений, обучающихся по специальности 08.02.04 "Водоснабжение и водоотведение"</t>
  </si>
  <si>
    <t>079600.16.01</t>
  </si>
  <si>
    <t>Химия и технология нефти и газа: Уч.пос. / С.В.Вержичинская - 3-е изд.-М.:Форум, НИЦ ИНФРА-М,2024.-416 с.(СПО)(п)</t>
  </si>
  <si>
    <t>ХИМИЯ И ТЕХНОЛОГИЯ НЕФТИ И ГАЗА, ИЗД.3</t>
  </si>
  <si>
    <t>Вержичинская С. В., Дигуров Н. Г., Синицин С. А.</t>
  </si>
  <si>
    <t>978-5-00091-512-7</t>
  </si>
  <si>
    <t>18.01.27, 18.01.28, 18.02.09</t>
  </si>
  <si>
    <t>413800.08.01</t>
  </si>
  <si>
    <t>Хирургия с сестринским уходом: Уч. пос. / Б.В. Цепунов. - М.: Форум: НИЦ ИНФРА-М,2026 - 576 с.(ПО) (п)</t>
  </si>
  <si>
    <t>ХИРУРГИЯ С СЕСТРИНСКИМ УХОДОМ</t>
  </si>
  <si>
    <t>Цепунов Б. В., Гоженко К. Н., Жиляев Е. А.</t>
  </si>
  <si>
    <t>978-5-91134-700-0</t>
  </si>
  <si>
    <t>31.02.01</t>
  </si>
  <si>
    <t>Рекомендовано Департаментом образовательных медицинских учреждений и кадровой политики Министерства здравоохранения и социальной политики РФ в качестве учебного пособия для студентов медицинских колледжей и училищ, обучающихся по специальностям 06050</t>
  </si>
  <si>
    <t>Кисловодский медицинский колледж</t>
  </si>
  <si>
    <t>693869.05.01</t>
  </si>
  <si>
    <t>Хирургия: Уч. / Б.В.Цепунов и др. - М.:НИЦ ИНФРА-М,2025 - 552 с.(СПО)(П)</t>
  </si>
  <si>
    <t>ХИРУРГИЯ</t>
  </si>
  <si>
    <t>Цепунов Б.В., Гоженко К.Н., Жиляев Е.А.</t>
  </si>
  <si>
    <t>978-5-16-015726-9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</si>
  <si>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31.02.01 «Лечебное дело», 31.02.02 «Акушерское дело», 34.02.01 «Сестринское дело» (протокол № 5 от 19.05.2021)</t>
  </si>
  <si>
    <t>841892.01.01</t>
  </si>
  <si>
    <t>Хореографическое искусство и балетмейстер: Уч.пос. / В.Н.Карпенко - М.:НИЦ ИНФРА-М,2025 - 192с.(СПО)(о)</t>
  </si>
  <si>
    <t>ХОРЕОГРАФИЧЕСКОЕ ИСКУССТВО И БАЛЕТМЕЙСТЕР</t>
  </si>
  <si>
    <t>978-5-16-020297-6</t>
  </si>
  <si>
    <t>52.02.01, 52.02.02, 52.02.03, 52.02.05, 53.02.01</t>
  </si>
  <si>
    <t>222500.11.01</t>
  </si>
  <si>
    <t>Черчение: Уч. / И.С.Вышнепольский - 3 изд., - М.:НИЦ ИНФРА-М,2026 - 400 с.(СПО)(П)</t>
  </si>
  <si>
    <t>ЧЕРЧЕНИЕ, ИЗД.3</t>
  </si>
  <si>
    <t>Вышнепольский И.С., Вышнепольский В.И.</t>
  </si>
  <si>
    <t>978-5-16-005474-2</t>
  </si>
  <si>
    <t>15.02.03, 15.02.04, 15.02.06, 15.02.09, 15.02.16, 15.02.17, 15.02.18, 15.02.19</t>
  </si>
  <si>
    <t>Рекомендовано в качестве учебника для учебных заведений, реализующих программу среднего профессионального образования по техническим специальностям</t>
  </si>
  <si>
    <t>085730.21.01</t>
  </si>
  <si>
    <t>Численные методы и програм.: Уч.пос. / Под ред. Гагариной Л.Г. - М.:ИД ФОРУМ,НИЦ ИНФРА-М,2026 - 336 с.(СПО)(П)</t>
  </si>
  <si>
    <t>ЧИСЛЕННЫЕ МЕТОДЫ И ПРОГРАММИРОВАНИЕ</t>
  </si>
  <si>
    <t>Колдаев В.Д., Гагарина Л.Г.</t>
  </si>
  <si>
    <t>978-5-8199-0779-5</t>
  </si>
  <si>
    <t>09.02.01, 09.02.02, 09.02.03, 09.02.04, 09.02.05, 09.02.07, 09.02.10</t>
  </si>
  <si>
    <t>848745.01.01</t>
  </si>
  <si>
    <t>Швейные нитки и клеевые матер. для одежды: Уч.пос. / Б.А.Бузов - М.:ИД Форум, НИЦ ИНФРА-М,2026. - 192 с.(СПО)(п)</t>
  </si>
  <si>
    <t>ШВЕЙНЫЕ НИТКИ И КЛЕЕВЫЕ МАТЕРИАЛЫ ДЛЯ ОДЕЖДЫ</t>
  </si>
  <si>
    <t>Бузов Б.А., Смирнова Н.А.</t>
  </si>
  <si>
    <t>978-5-8199-0965-2</t>
  </si>
  <si>
    <t>29.01.04, 29.01.09, 29.01.33, 29.01.34, 29.02.10</t>
  </si>
  <si>
    <t>084040.20.01</t>
  </si>
  <si>
    <t>Экологические основы природопольз.: Уч.пос. / Е.К.Хандогина - 2 изд. - М.:Форум, НИЦ ИНФРА-М,2025 - 160 с.(СПО)(о)</t>
  </si>
  <si>
    <t>ЭКОЛОГИЧЕСКИЕ ОСНОВЫ ПРИРОДОПОЛЬЗОВАНИЯ, ИЗД.2</t>
  </si>
  <si>
    <t>Хандогина Е.К., Герасимова Н.А., Хандогина А.В. и др.</t>
  </si>
  <si>
    <t>978-5-00091-475-5</t>
  </si>
  <si>
    <t>00.02.36, 05.02.01, 21.02.12, 21.02.15, 26.02.04, 27.02.06</t>
  </si>
  <si>
    <t>038200.24.01</t>
  </si>
  <si>
    <t>Экологические основы природопользования: Уч. / М.В.Гальперин - 2 изд.- М.:НИЦ ИНФРА-М,2025-256 с.(СПО)(П)</t>
  </si>
  <si>
    <t>Гальперин М.В.</t>
  </si>
  <si>
    <t>978-5-16-016287-4</t>
  </si>
  <si>
    <t>00.02.36, 21.02.12, 21.02.15, 26.02.04</t>
  </si>
  <si>
    <t>0205</t>
  </si>
  <si>
    <t>799530.01.01</t>
  </si>
  <si>
    <t>Экологические основы природопользования: Уч.пос. / И.С.Коротченко-М.:НИЦ ИНФРА-М,2024-153с.(СПО (КрГАУ))(п)</t>
  </si>
  <si>
    <t>ЭКОЛОГИЧЕСКИЕ ОСНОВЫ ПРИРОДОПОЛЬЗОВАНИЯ</t>
  </si>
  <si>
    <t>Коротченко И.С., Романова. О.В.</t>
  </si>
  <si>
    <t>978-5-16-019009-9</t>
  </si>
  <si>
    <t>35.02.07, 35.02.08, 35.02.14</t>
  </si>
  <si>
    <t>Рекомендовано Учебно-методическим советом федерального государственного бюджетного образовательного учреждения высшего образования «Красноярский государственный аграрный университет» для внутривузовского использования в качестве¶учебного пособия для студентов по специальностям 35.02.07 «Механизация сельского хозяйства», 35.02.08 «Электрификация и автоматизация сельского хозяйства», 35.02.13 «Пчеловодство», 35.02.14 «Охотоведение и звероводство»,19.02.08 «Технология мяса и мясных продуктов»</t>
  </si>
  <si>
    <t>081550.12.01</t>
  </si>
  <si>
    <t>Экологическое право. Практикум: Уч.пос. / Е.И.Майорова - 3 изд. - М.:НИЦ ИНФРА-М,2024 - 133 с.(СПО)(П)</t>
  </si>
  <si>
    <t>ЭКОЛОГИЧЕСКОЕ ПРАВО. ПРАКТИКУМ, ИЗД.3</t>
  </si>
  <si>
    <t>Майорова Е.И., Попов В.А.</t>
  </si>
  <si>
    <t>978-5-16-014317-0</t>
  </si>
  <si>
    <t>Рекомендовано Министерством образования и науки Российской Федерации в качестве учебного пособия для студентов учебных заведений среднего профессионального образования, обучающихся по специальностям правоведческого профиля</t>
  </si>
  <si>
    <t>081550.08.01</t>
  </si>
  <si>
    <t>Экологическое право. Практикум: уч.пос. / Е.И.Майорова, - 2-е изд.-М.:ИД Форум, НИЦ ИНФРА-М,2018.-240 с..-(СПО)(п)</t>
  </si>
  <si>
    <t>ЭКОЛОГИЧЕСКОЕ ПРАВО. ПРАКТИКУМ, ИЗД.2</t>
  </si>
  <si>
    <t>Майорова Е. И., Попов В. А.</t>
  </si>
  <si>
    <t>978-5-8199-0491-6</t>
  </si>
  <si>
    <t>Допущено Министерством образования РФв качестве учебного пособия для студентов учреждений среднего профессионального образования, обучающихся по правоведческим специальностям</t>
  </si>
  <si>
    <t>036720.19.01</t>
  </si>
  <si>
    <t>Экологическое право: Уч. / Б.В.Ерофеев, - 5 изд. - М.:ИД Форум, НИЦ ИНФРА-М,2025. -  399 с.(СПО)(п)</t>
  </si>
  <si>
    <t>ЭКОЛОГИЧЕСКОЕ ПРАВО, ИЗД.5</t>
  </si>
  <si>
    <t>Ерофеев Б.В.</t>
  </si>
  <si>
    <t>978-5-8199-0695-8</t>
  </si>
  <si>
    <t>Рекомендовано Министерством образования и науки Российской Федерации в качестве учебника для студентов учебных заведений среднего профессионального образования, обучающихся по специальностям правоведческого профиля</t>
  </si>
  <si>
    <t>813799.01.01</t>
  </si>
  <si>
    <t>Экология: Уч.пос. / И.С.Коротченко-М.:НИЦ ИНФРА-М,2024.-270 с.(СПО (КрГАУ))(п)</t>
  </si>
  <si>
    <t>ЭКОЛОГИЯ</t>
  </si>
  <si>
    <t>Коротченко И.С.</t>
  </si>
  <si>
    <t>978-5-16-019670-1</t>
  </si>
  <si>
    <t>27.02.03, 35.02.07, 35.02.08</t>
  </si>
  <si>
    <t>Рекомендовано Учебно-методическим советом федерального государственного бюджетного образовательного учреждения высшего образования «Красноярский государственный аграрный университет» для внутривузовского использования в качестве учебного пособия для студентов, обучающихся по специальностям 35.02.07 «Механизация сельского хозяйства», 35.02.08 «Электрификация и автоматизация сельского хозяйства»</t>
  </si>
  <si>
    <t>653066.12.01</t>
  </si>
  <si>
    <t>Экономика  организации: Уч. / А.М.Фридман - М.:ИЦ РИОР, НИЦ ИНФРА-М,2025 - 239 с.(П)</t>
  </si>
  <si>
    <t>ЭКОНОМИКА  ОРГАНИЗАЦИИ</t>
  </si>
  <si>
    <t>978-5-369-01729-6</t>
  </si>
  <si>
    <t>00.02.38, 08.02.01, 08.02.04, 15.02.07, 21.02.15, 21.02.16, 21.02.17, 31.02.04, 31.02.05, 31.02.06, 32.02.01, 33.02.01, 35.02.12, 35.02.18, 38.02.01, 38.02.03, 38.02.06, 38.02.07, 38.02.08, 40.02.04, 42.02.01, 46.02.01</t>
  </si>
  <si>
    <t>842371.01.01</t>
  </si>
  <si>
    <t>Экономика гостиничного предприятия: Уч.пос. / Н.И.Малых - М.:Форум,НИЦ ИНФРА-М,2025 - 320 с.(СПО)(п)</t>
  </si>
  <si>
    <t>ЭКОНОМИКА ГОСТИНИЧНОГО ПРЕДПРИЯТИЯ</t>
  </si>
  <si>
    <t>Малых Н. И., Можаева Н. Г.</t>
  </si>
  <si>
    <t>978-5-00091-811-1</t>
  </si>
  <si>
    <t>637130.07.01</t>
  </si>
  <si>
    <t>Экономика и бух. учет. Общепрофес. дисцип.: Уч. / М.Ю.Елицур - М.:Форум,НИЦ ИНФРА-М,2025 - 544 с.(СПО)(П)</t>
  </si>
  <si>
    <t>ЭКОНОМИКА И БУХГАЛТЕРСКИЙ УЧЕТ. ОБЩЕПРОФЕССИОНАЛЬНЫЕ ДИСЦИПЛИНЫ</t>
  </si>
  <si>
    <t>Елицур М.Ю., Наумов В.П., Носова О.М. и др.</t>
  </si>
  <si>
    <t>978-5-00091-416-8</t>
  </si>
  <si>
    <t>Рекомендовано в качестве учебника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</t>
  </si>
  <si>
    <t>Колледж малого бизнеса № 4, г. Москва</t>
  </si>
  <si>
    <t>637133.12.01</t>
  </si>
  <si>
    <t>Экономика и бух. учет. Проф. модули: Уч. / М.Ю.Елицур - М.:Форум, НИЦ ИНФРА-М,2025 - 200 с.(СПО)(П)</t>
  </si>
  <si>
    <t>ЭКОНОМИКА И БУХГАЛТЕРСКИЙ УЧЕТ. ПРОФЕССИОНАЛЬНЫЕ МОДУЛИ</t>
  </si>
  <si>
    <t>Елицур М.Ю., Носова О.М., Фролова М.В.</t>
  </si>
  <si>
    <t>978-5-00091-417-5</t>
  </si>
  <si>
    <t>35.01.23, 38.02.01, 38.02.03, 38.02.06, 38.02.07, 38.02.08, 43.01.09, 43.02.16</t>
  </si>
  <si>
    <t>720252.02.01</t>
  </si>
  <si>
    <t>Экономика и орг. деят. предпр. питания: Уч.пос. / А.Р.Давыдович, - 2 изд. - М.:НИЦ ИНФРА-М,2025. - 221 с.(П)</t>
  </si>
  <si>
    <t>ЭКОНОМИКА И ОРГАНИЗАЦИЯ ДЕЯТЕЛЬНОСТИ ПРЕДПРИЯТИЙ ПИТАНИЯ, ИЗД.2</t>
  </si>
  <si>
    <t>Давыдович А.Р.</t>
  </si>
  <si>
    <t>978-5-16-015822-8</t>
  </si>
  <si>
    <t>08.02.13, 08.02.14, 15.02.17, 19.02.10, 19.02.11, 19.02.12, 21.02.20, 29.02.08, 29.02.10, 35.02.05, 35.02.07, 35.02.08, 35.02.10, 35.02.14, 35.02.15, 35.02.16, 36.01.03, 36.02.01, 36.02.03, 43.01.04, 43.01.05, 43.01.06, 43.01.07, 43.01.09, 43.01.11, 43.02.01, 43.02.15, 43.02.16, 44.02.06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</si>
  <si>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43.02.15 «Поварское и кондитерское дело», 19.02.10 «Технология продукции общественного питания», 43.02.01 «Организация обслуживания в общественном питании» (протокол № 11 от 09.11.2020)</t>
  </si>
  <si>
    <t>084300.18.01</t>
  </si>
  <si>
    <t>Экономика образовательного учр.: Уч.пос. / Л.А.Захарчук - 3 изд.-М.:Форум, НИЦ ИНФРА-М,2024-180 с.(СПО)(п)</t>
  </si>
  <si>
    <t>ЭКОНОМИКА ОБРАЗОВАТЕЛЬНОГО УЧРЕЖДЕНИЯ, ИЗД.3</t>
  </si>
  <si>
    <t>Захарчук Л.А.</t>
  </si>
  <si>
    <t>978-5-00091-607-0</t>
  </si>
  <si>
    <t>Допущено Министерством образования и науки РФ в качестве учебного пособия для студентов образовательных организаций среднего профессионального образования</t>
  </si>
  <si>
    <t>702147.07.01</t>
  </si>
  <si>
    <t>Экономика организации. Практикум: Уч.пос. / А.М.Фридман - М.:ИЦ РИОР, НИЦ ИНФРА-М,2025 - 180 с.(СПО)(П)</t>
  </si>
  <si>
    <t>ЭКОНОМИКА ОРГАНИЗАЦИИ. ПРАКТИКУМ</t>
  </si>
  <si>
    <t>978-5-369-01830-9</t>
  </si>
  <si>
    <t>00.02.38, 21.02.15, 21.02.16, 21.02.17, 38.02.01, 38.02.02, 38.02.03, 38.02.06, 38.02.07, 38.02.08</t>
  </si>
  <si>
    <t>053200.24.01</t>
  </si>
  <si>
    <t>Экономика организации: Уч. / Е.Н.Кнышова - М.:ИД ФОРУМ, НИЦ ИНФРА-М,2026 - 335 с.(СПО)(п)</t>
  </si>
  <si>
    <t>ЭКОНОМИКА ОРГАНИЗАЦИИ</t>
  </si>
  <si>
    <t>Кнышова Е.Н., Панфилова Е.Е.</t>
  </si>
  <si>
    <t>978-5-8199-0696-5</t>
  </si>
  <si>
    <t>00.02.38, 08.02.01, 08.02.02, 15.02.07, 21.02.15, 21.02.16, 21.02.17, 21.02.18, 26.02.03, 26.02.04, 31.02.05, 31.02.06, 32.02.01, 33.02.01, 35.02.12, 35.02.18, 38.02.01, 38.02.02, 38.02.03, 38.02.06, 38.02.07, 38.02.08, 40.02.04, 42.02.01</t>
  </si>
  <si>
    <t>Допущено Министерством образования и науки Российской Федерации в качестве учебника для студентов учреждений среднего профессионального образования, обучающихся по специальности «Экономика и управление»</t>
  </si>
  <si>
    <t>079250.23.01</t>
  </si>
  <si>
    <t>Экономика отрасли (авто. транспорт): Уч. / И.С.Туревский - М.:ИД ФОРУМ, НИЦ ИНФРА-М,2026. - 288 с.(СПО)(П)</t>
  </si>
  <si>
    <t>ЭКОНОМИКА ОТРАСЛИ (АВТОМОБИЛЬНЫЙ ТРАНСПОРТ)</t>
  </si>
  <si>
    <t>978-5-8199-0815-0</t>
  </si>
  <si>
    <t>23.02.03, 23.02.07</t>
  </si>
  <si>
    <t>Допущено Министерством образования и науки Российской Федерации в качестве учебника для студентов учреждений среднего профессионального образования, обучающихся по специальности «Техническое обслуживание и ремонт автомобильного транспорта»</t>
  </si>
  <si>
    <t>062050.24.01</t>
  </si>
  <si>
    <t>Экономика отрасли (строительство): Уч./ В.В.Акимов - 2 изд. - М.:НИЦ ИНФРА-М,2025 - 300 с.(СПО)(П)</t>
  </si>
  <si>
    <t>ЭКОНОМИКА ОТРАСЛИ (СТРОИТЕЛЬСТВО), ИЗД.2</t>
  </si>
  <si>
    <t>Акимов В.В., Герасимова А.Г., Макарова Т.Н. и др.</t>
  </si>
  <si>
    <t>978-5-16-009339-0</t>
  </si>
  <si>
    <t>08.02.01, 08.02.02, 08.02.03, 08.02.04, 08.02.08, 08.02.09, 08.02.12, 08.02.13, 08.02.14</t>
  </si>
  <si>
    <t>Рекомендовано ФГУ «Федеральный институт развития образования» в качестве учебника для использования в учебном процессе образовательных учреждений, реализующих программы среднего профессионального образования по укрупненной группе специальностей 08.00.00 «Строительство»</t>
  </si>
  <si>
    <t>701934.05.01</t>
  </si>
  <si>
    <t>Экономика отрасли туризм: Уч. / Под ред. Богданова Е.И. - М.:НИЦ ИНФРА-М,2026. - 318 с.-(СПО)(П)</t>
  </si>
  <si>
    <t>ЭКОНОМИКА ОТРАСЛИ ТУРИЗМ</t>
  </si>
  <si>
    <t>Богданов Е.И., Богомолова Е.С., Орловская В.П. и др.</t>
  </si>
  <si>
    <t>978-5-16-014813-7</t>
  </si>
  <si>
    <t>720382.05.01</t>
  </si>
  <si>
    <t>Экономика отрасли: Уч.пос. / Л.Е.Басовский - М.:НИЦ ИНФРА-М,2026 - 145 с.-(СПО)(П)</t>
  </si>
  <si>
    <t>ЭКОНОМИКА ОТРАСЛИ</t>
  </si>
  <si>
    <t>Басовский Л.Е.</t>
  </si>
  <si>
    <t>978-5-16-015694-1</t>
  </si>
  <si>
    <t>08.02.01, 08.02.15, 09.02.04, 09.02.06, 09.02.07, 13.02.07, 15.02.17, 19.02.11, 19.02.12, 21.02.01, 21.02.11, 21.02.12, 21.02.15, 21.02.16, 21.02.17, 21.02.18, 24.02.04, 25.02.02, 25.02.03, 25.02.05, 25.02.06, 27.02.03, 27.02.04, 43.02.02, 43.02.06, 43.02.16, 44.02.06, 53.02.08, 09.02.10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</si>
  <si>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38.02.00 «Экономика и управление», 44.02.00 «Образование и педагогические науки» (протокол № 12 от 24.06.2019)</t>
  </si>
  <si>
    <t>172900.13.01</t>
  </si>
  <si>
    <t>Экономика сельского хозяйства: Уч. / Под ред. Петраневой Г.А. - М.:НИЦ ИНФРА-М,2025 - 288 с.(СПО)(П)</t>
  </si>
  <si>
    <t>ЭКОНОМИКА СЕЛЬСКОГО ХОЗЯЙСТВА</t>
  </si>
  <si>
    <t>Петранева Г.А., Коваленко Н.Я., Романов А.Н. и др.</t>
  </si>
  <si>
    <t>978-5-16-013596-0</t>
  </si>
  <si>
    <t>35.02.05, 35.02.07, 35.02.16, 36.02.03</t>
  </si>
  <si>
    <t>Рекомендовано Государственным университетом управления в качестве учебника для студентов среднего профессионального образования, обучающихся по специальностям 35.02.05 «Агрономия», 36.02.02 «Зоотехния», 35.02.06 «Технология производства и переработки сельскохозяйственной продукции»</t>
  </si>
  <si>
    <t>147750.07.01</t>
  </si>
  <si>
    <t>Экономика торговли: Уч.пос. / Н.И.Саталкина.-М.:Форум, НИЦ ИНФРА-М,2024.-232 с.(СПО)(о)</t>
  </si>
  <si>
    <t>ЭКОНОМИКА ТОРГОВЛИ</t>
  </si>
  <si>
    <t>Саталкина Н.И., Герасимов Б.И., Терехова Г.И.</t>
  </si>
  <si>
    <t>978-5-91134-485-6</t>
  </si>
  <si>
    <t>38.01.02, 38.02.01, 38.02.06</t>
  </si>
  <si>
    <t>757417.03.01</t>
  </si>
  <si>
    <t>Экономика торговой организации: Уч. / Г.Г.Иванов - М.:НИЦ ИНФРА-М,2025 - 182 с.(СПО)(П)</t>
  </si>
  <si>
    <t>ЭКОНОМИКА ТОРГОВОЙ ОРГАНИЗАЦИИ</t>
  </si>
  <si>
    <t>Иванов Г.Г.</t>
  </si>
  <si>
    <t>978-5-16-016902-6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</si>
  <si>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38.02.04 «Коммерция (по отраслям)», 38.02.05 «Товароведение и экспертиза качества потребительских товаров» (протокол № 10 от 12.10.2020)</t>
  </si>
  <si>
    <t>705370.05.01</t>
  </si>
  <si>
    <t>Экономика: Уч. / В.А.Федотов - 4 изд. - М.:НИЦ ИНФРА-М,2023 - 196 с.-(СПО)(П)</t>
  </si>
  <si>
    <t>ЭКОНОМИКА, ИЗД.4</t>
  </si>
  <si>
    <t>Федотов В.А., Комарова О.В.</t>
  </si>
  <si>
    <t>978-5-16-015038-3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</si>
  <si>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(протокол № 5 от 11.03.2019)</t>
  </si>
  <si>
    <t>048070.13.01</t>
  </si>
  <si>
    <t>Экономическая теория: Раб. тетр. / В.Г.Слагода - 5 изд. - М.:Форум, ИНФРА-М,2023 - 176с(Проф.обр.)(о)</t>
  </si>
  <si>
    <t>ЭКОНОМИЧЕСКАЯ ТЕОРИЯ, ИЗД.5</t>
  </si>
  <si>
    <t>Слагода В.Г.</t>
  </si>
  <si>
    <t>978-5-91134-834-2</t>
  </si>
  <si>
    <t>Допущено Министерством образования и науки Российской Федерации в качестве учебного пособия для студентов учреждений среднего специального образования, обучающихся по группе специальностей «Экономика и управление»</t>
  </si>
  <si>
    <t>0514</t>
  </si>
  <si>
    <t>076900.17.01</t>
  </si>
  <si>
    <t>Экономическая теория: Уч. / В.П.Бардовский и др. - М.:ИД ФОРУМ, НИЦ ИНФРА-М,2025. - 399 с.(СПО)(П)</t>
  </si>
  <si>
    <t>ЭКОНОМИЧЕСКАЯ ТЕОРИЯ</t>
  </si>
  <si>
    <t>Бардовский В. П., Рудакова О. В., Самородова Е. М.</t>
  </si>
  <si>
    <t>978-5-8199-0879-2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</si>
  <si>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«Экономика и управление»</t>
  </si>
  <si>
    <t>724896.05.01</t>
  </si>
  <si>
    <t>Экономический анализ: практ.: Уч.пос. / Л.М.Куприянова и др. - М.:НИЦ ИНФРА-М,2024 - 172 с.(СПО)(П)</t>
  </si>
  <si>
    <t>ЭКОНОМИЧЕСКИЙ АНАЛИЗ. ПРАКТИКУМ</t>
  </si>
  <si>
    <t>Куприянова Л.М., Никифорова Е.В., Шнайдер О.В.</t>
  </si>
  <si>
    <t>978-5-16-015802-0</t>
  </si>
  <si>
    <t>21.02.19, 38.02.01, 38.02.03, 38.02.06, 38.02.07, 38.02.08</t>
  </si>
  <si>
    <t>747731.01.01</t>
  </si>
  <si>
    <t>Экономический анализ: Уч. / Е.Б.Герасимова - М.:НИЦ ИНФРА-М,2022 - 245 с.(СПО (ФинУн))(П)</t>
  </si>
  <si>
    <t>ЭКОНОМИЧЕСКИЙ АНАЛИЗ</t>
  </si>
  <si>
    <t>978-5-16-016964-4</t>
  </si>
  <si>
    <t>38.02.01, 38.02.02, 38.02.03, 38.02.06, 38.02.08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</si>
  <si>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21.02.05 «Земельно-имущественные отношения» (протокол № 1 от 12.01.2022)</t>
  </si>
  <si>
    <t>735066.06.01</t>
  </si>
  <si>
    <t>Экскурсионная деят. в индустрии гостеприимства: Уч.пос. / И.С.Барчуков. - М.:Вуз. уч., НИЦ ИНФРА-М,2025. - 204 с.(П)</t>
  </si>
  <si>
    <t>ЭКСКУРСИОННАЯ ДЕЯТЕЛЬНОСТЬ В ИНДУСТРИИ ГОСТЕПРИИМСТВА</t>
  </si>
  <si>
    <t>Барчуков И.С., Башин Ю.Б., Зайцев А.В. и др.</t>
  </si>
  <si>
    <t>978-5-9558-0645-7</t>
  </si>
  <si>
    <t>43.02.06, 43.02.16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</si>
  <si>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43.02.10 «Туризм» (протокол № 5 от 16.03.2020)</t>
  </si>
  <si>
    <t>694930.05.01</t>
  </si>
  <si>
    <t>Экспертиза и атрибуция изделий декор.-прикл. иск.: Уч.пос. / А.Ф.Миронова - 2 изд. - М.:Форум,НИЦ ИНФРА-М,2025 - 96 с.(СПО)</t>
  </si>
  <si>
    <t>ЭКСПЕРТИЗА И АТРИБУЦИЯ ИЗДЕЛИЙ ДЕКОРАТИВНО-ПРИКЛАДНОГО ИСКУССТВА, ИЗД.2</t>
  </si>
  <si>
    <t>Миронова А.Ф.</t>
  </si>
  <si>
    <t>978-5-00091-640-7</t>
  </si>
  <si>
    <t>35.01.28, 42.02.01, 43.02.02, 52.02.03, 52.02.04, 52.02.05, 54.01.01, 54.01.05, 54.02.01, 54.02.02, 54.02.03, 54.02.04, 54.02.06, 54.02.08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</si>
  <si>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54.02.00 «Изобразительное и прикладные виды искусств»</t>
  </si>
  <si>
    <t>Институт искусства реставрации</t>
  </si>
  <si>
    <t>155700.08.01</t>
  </si>
  <si>
    <t>Экспертиза качества и сертиф. рыбы.: Уч. пос. /О.А. Голубенко - М.: Альфа-М,ИНФРА-М,2024 -256 с. (П)</t>
  </si>
  <si>
    <t>ЭКСПЕРТИЗА КАЧЕСТВА И СЕРТИФИКАЦИЯ РЫБЫ И РЫБНЫХ ПРОДУКТОВ</t>
  </si>
  <si>
    <t>Голубенко О. А., Коник Н. В.</t>
  </si>
  <si>
    <t>978-5-98281-258-2</t>
  </si>
  <si>
    <t>19.01.18, 19.01.19, 19.02.13, 35.01.32, 35.02.09, 35.02.10, 35.02.11, 38.02.08, 43.01.09, 43.02.01</t>
  </si>
  <si>
    <t>Рекомендовано Федеральным государственным учреждением «Федеральный институт развития образования» (ФГУ «ФИРО») в качестве учебного пособия для использования в учебном процессе образовательных учреждений, реализующих программы среднего профессионально образования по специальностям "Организация обслуживания в общественном питании", "Менеджмент (по отраслям)", "Коммерция (по отраслям)", "Стандартизация и сертификация продукции (по отраслям)", "Товароведение и экспертиза качества потребительских товаров"</t>
  </si>
  <si>
    <t>153300.09.01</t>
  </si>
  <si>
    <t>Экспертиза качества и сертификация кондит. товаров: Уч. пос. / О.А.Голубенко - М.: Альфа-М, 2025 - 240 с.(П)</t>
  </si>
  <si>
    <t>ЭКСПЕРТИЗА КАЧЕСТВА И СЕРТИФИКАЦИЯ КОНДИТЕРСКИХ ТОВАРОВ</t>
  </si>
  <si>
    <t>978-5-98281-242-1</t>
  </si>
  <si>
    <t>19.01.18, 19.01.19, 19.02.11, 19.02.13, 38.02.08, 43.01.09, 43.02.15</t>
  </si>
  <si>
    <t>Рекомендовано ФГУ "ФИРО" в качестве уч. пос. для использ. в учеб. процессе образов. учр., реализ. прогр. СПО по спец 100106 Орг-ция обслуж. в обществ. питании, 080501 Менеджмент(по отр.), 080302 Коммерция(по отр.), 200504 Стандарт. и сетриф. прод, 08</t>
  </si>
  <si>
    <t>834940.01.01</t>
  </si>
  <si>
    <t>Эксплуатация авто. в усл. Крайнего Севера: Уч.пос. / С.С.Головачев - М.:НИЦ ИНФРА-М,2025 - 183 с.(СПО)(п)</t>
  </si>
  <si>
    <t>ЭКСПЛУАТАЦИЯ АВТОМОБИЛЕЙ В УСЛОВИЯХ КРАЙНЕГО СЕВЕРА</t>
  </si>
  <si>
    <t>Головачев С.С.</t>
  </si>
  <si>
    <t>978-5-16-020307-2</t>
  </si>
  <si>
    <t>Чукотский полярный техникум поселка Эгвекинот</t>
  </si>
  <si>
    <t>058750.21.01</t>
  </si>
  <si>
    <t>Эксплуатация оборуд. и сис. водоснабж. и водоотвед.: Уч. / Г.Н.Жмаков - М.:НИЦ ИНФРА-М,2026. - 237 с.(СПО)(п)</t>
  </si>
  <si>
    <t>ЭКСПЛУАТАЦИЯ ОБОРУДОВАНИЯ И СИСТЕМ ВОДОСНАБЖЕНИЯ И ВОДООТВЕДЕНИЯ</t>
  </si>
  <si>
    <t>Жмаков Г. Н.</t>
  </si>
  <si>
    <t>978-5-16-018753-2</t>
  </si>
  <si>
    <t>08.01.29, 08.02.01, 08.02.02, 08.02.04, 08.02.13, 08.02.14, 13.02.02, 18.01.27, 18.01.28, 19.01.01</t>
  </si>
  <si>
    <t>Рекомендовано Управлением кадров и учебных заведений Министерства РФ по земельной политике, строительству и жилищно-комм. хоз-ву в качестве учебника для студентов средних спец. заведений, обуч. по специальности 08.02.04 «Водоснабжение и водоотведение»</t>
  </si>
  <si>
    <t>640318.12.01</t>
  </si>
  <si>
    <t>Эксплуатация объектов сетевой инфраструкт.: Уч. / А.В.Назаров - М.:КУРС, НИЦ ИНФРА-М,2025 - 360 с(СПО)(П)</t>
  </si>
  <si>
    <t>ЭКСПЛУАТАЦИЯ ОБЪЕКТОВ СЕТЕВОЙ ИНФРАСТРУКТУРЫ</t>
  </si>
  <si>
    <t>Назаров А.В., Енгалычев А.Н., Мельников В.П.</t>
  </si>
  <si>
    <t>978-5-906923-06-6</t>
  </si>
  <si>
    <t>09.02.02, 09.02.06, 09.02.08, 10.02.03, 10.02.05, 11.02.15</t>
  </si>
  <si>
    <t>689279.08.01</t>
  </si>
  <si>
    <t>Эксплуатация систем электроснабжения: Уч.пос. / В.Я.Хорольский - М.:НИЦ ИНФРА-М,2026 - 288 с.(СПО)(П)</t>
  </si>
  <si>
    <t>ЭКСПЛУАТАЦИЯ СИСТЕМ ЭЛЕКТРОСНАБЖЕНИЯ</t>
  </si>
  <si>
    <t>Хорольский В. Я., Таранов М. А.</t>
  </si>
  <si>
    <t>978-5-16-014458-0</t>
  </si>
  <si>
    <t>08.02.09, 11.01.02, 11.01.05, 13.01.07, 13.01.10, 13.02.07, 13.02.09, 13.02.12, 13.02.13, 21.01.15, 21.02.12, 26.01.05, 26.02.04, 26.02.05, 26.02.06, 35.01.15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</si>
  <si>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13.02.01 «Тепловые электрические станции», 13.02.03 «Электрические станции, сети и системы», 13.02.07 «Электроснабжение (по отраслям)»</t>
  </si>
  <si>
    <t>704322.06.01</t>
  </si>
  <si>
    <t>Эксплуатация электрооборудования. Задачник: Уч.пос. / В.Я.Хорольский - М.:Форум, НИЦ ИНФРА-М,2025. - 176 с.(о)</t>
  </si>
  <si>
    <t>ЭКСПЛУАТАЦИЯ ЭЛЕКТРООБОРУДОВАНИЯ. ЗАДАЧНИК</t>
  </si>
  <si>
    <t>Хорольский В.Я., Таранов М.А., Медведько Ю.А.</t>
  </si>
  <si>
    <t>978-5-00091-669-8</t>
  </si>
  <si>
    <t>08.02.09, 11.01.02, 11.01.05, 13.01.07, 13.01.10, 13.02.07, 13.02.08, 13.02.09, 13.02.12, 13.02.13, 18.01.28, 21.01.15, 26.01.05, 26.02.04, 26.02.05, 26.02.06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</si>
  <si>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13.02.11 «Техническая эксплуатация и обслуживание электрического и электромеханического оборудования (по отраслям)», 35.02.08 «Электрификация и автоматизация сельского хозяйства» (протокол № 3 от 11.02.2019)</t>
  </si>
  <si>
    <t>742691.11.01</t>
  </si>
  <si>
    <t>Эксплуатация, диагностика и ремонт электрооборуд.: Уч.пос. / В.И.Полищук - М.:НИЦ ИНФРА-М,2026 - 203с(П)</t>
  </si>
  <si>
    <t>ЭКСПЛУАТАЦИЯ, ДИАГНОСТИКА И РЕМОНТ ЭЛЕКТРООБОРУДОВАНИЯ</t>
  </si>
  <si>
    <t>Полищук В.И.</t>
  </si>
  <si>
    <t>978-5-16-016457-1</t>
  </si>
  <si>
    <t>08.02.09, 11.01.02, 11.01.05, 13.01.07, 13.01.10, 13.02.01, 13.02.02, 13.02.04, 13.02.07, 13.02.08, 13.02.09, 13.02.12, 13.02.13, 14.02.01, 15.02.06, 18.01.28, 21.01.15, 26.01.05, 26.02.04, 26.02.05, 26.02.06, 35.01.15, 35.02.08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</si>
  <si>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техническим специальностям (протокол № 5 от 16.03.2020)</t>
  </si>
  <si>
    <t>Алтайский государственный технический университет им. И.И. Ползунова</t>
  </si>
  <si>
    <t>732044.06.01</t>
  </si>
  <si>
    <t>Эксплуатация, обслуж. и диагностика тех. машин: Уч.пос. / В.Б.Богуцкий - М.:НИЦ ИНФРА-М,2026 - 356 с.(п)</t>
  </si>
  <si>
    <t>ЭКСПЛУАТАЦИЯ, ОБСЛУЖИВАНИЕ И ДИАГНОСТИКА ТЕХНОЛОГИЧЕСКИХ МАШИН</t>
  </si>
  <si>
    <t>Богуцкий В.Б., Шрон Л.Б., Ягьяев Э.Э.</t>
  </si>
  <si>
    <t>978-5-16-015996-6</t>
  </si>
  <si>
    <t>15.01.35, 15.02.01, 21.02.12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</si>
  <si>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15.02.00 «Машиностроение» (протокол № 3 от 17.02.2020)</t>
  </si>
  <si>
    <t>693406.07.01</t>
  </si>
  <si>
    <t>Эксплуатация, обслуж. и ремонт общего имущества...: Уч. / В.Б.Акимов. - М.:НИЦ ИНФРА-М,2026. - 295 с.(П)</t>
  </si>
  <si>
    <t>ЭКСПЛУАТАЦИЯ, ОБСЛУЖИВАНИЕ И РЕМОНТ ОБЩЕГО ИМУЩЕСТВА МНОГОКВАРТИРНОГО ДОМА</t>
  </si>
  <si>
    <t>Акимов В.Б., Тимахова Н.С., Комков В.А.</t>
  </si>
  <si>
    <t>978-5-16-015410-7</t>
  </si>
  <si>
    <t>08.02.01, 08.02.13, 08.02.14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</si>
  <si>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08.02.11 «Управление, эксплуатация и обслуживание многоквартирного дома»  (протокол № 11 от 26.10.2020)</t>
  </si>
  <si>
    <t>702086.07.01</t>
  </si>
  <si>
    <t>Электрические аппараты и цепи подвиж. состава: Уч.пос. / А.С.Мазнев - 2 изд.-М.:НИЦ ИНФРА-М,2025-278с(п)</t>
  </si>
  <si>
    <t>ЭЛЕКТРИЧЕСКИЕ АППАРАТЫ И ЦЕПИ ПОДВИЖНОГО СОСТАВА, ИЗД.2</t>
  </si>
  <si>
    <t>Мазнев А.С., Шатнев О.И.</t>
  </si>
  <si>
    <t>978-5-16-015014-7</t>
  </si>
  <si>
    <t>23.02.06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</si>
  <si>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23.02.06 «Техническая эксплуатация подвижного состава железных дорог» (протокол № 1 от 20.01.2020)</t>
  </si>
  <si>
    <t>Петербургский государственный университет путей сообщения Императора Александра I</t>
  </si>
  <si>
    <t>683136.11.01</t>
  </si>
  <si>
    <t>Электрические аппараты: Уч.пос. / Е.Ф.Щербаков - М.:Форум, НИЦ ИНФРА-М,2025 - 303 с.(СПО)(П)</t>
  </si>
  <si>
    <t>ЭЛЕКТРИЧЕСКИЕ АППАРАТЫ</t>
  </si>
  <si>
    <t>Щербаков Е.Ф., Александров Д.С.</t>
  </si>
  <si>
    <t>978-5-00091-561-5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</si>
  <si>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13.02.00 «Электроэнергетика и электротехника»</t>
  </si>
  <si>
    <t>719249.03.01</t>
  </si>
  <si>
    <t>Электрические машины, электропривод и сис. интеллект...: Уч.пос. / А.Е.Поляков-М.:Форум, НИЦ ИНФРА-М,2024-224с(о)</t>
  </si>
  <si>
    <t>ЭЛЕКТРИЧЕСКИЕ МАШИНЫ, ЭЛЕКТРОПРИВОД И СИСТЕМЫ ИНТЕЛЛЕКТУАЛЬНОГО УПРАВЛЕНИЯ ЭЛЕКТРОТЕХНИЧЕСКИМИ КОМПЛЕКСАМИ</t>
  </si>
  <si>
    <t>Поляков А.Е., Чесноков А.В., Филимонова Е.М.</t>
  </si>
  <si>
    <t>978-5-00091-720-6</t>
  </si>
  <si>
    <t>13.02.13, 15.02.01, 15.02.04, 15.02.07, 15.02.16, 15.02.17, 15.02.18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</si>
  <si>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15.02.00 «Машиностроение» и специальности 13.02.10 «Электрические машины и аппараты» (протокол № 12 от 24.06.2019)</t>
  </si>
  <si>
    <t>249900.12.01</t>
  </si>
  <si>
    <t>Электрические машины. Лаб. раб.: Уч.пос. / А.В.Глазков - М.:ИЦ РИОР, НИЦ ИНФРА-М,2025. - 96 с.(СПО)(О)</t>
  </si>
  <si>
    <t>ЭЛЕКТРИЧЕСКИЕ МАШИНЫ. ЛАБОРАТОРНЫЕ РАБОТЫ</t>
  </si>
  <si>
    <t>Глазков А.В.</t>
  </si>
  <si>
    <t>978-5-369-01312-0</t>
  </si>
  <si>
    <t>11.02.06, 15.02.01, 15.02.06, 15.02.07, 15.02.18, 23.02.04, 23.02.06, 25.02.01, 25.02.03</t>
  </si>
  <si>
    <t>Рекомендовано федеральным государственным автономным учреждением «Федеральный институт развития образования» (ФГАУ"ФИРО") в качестве учебного пособия для использования в учебном процессе образовательных учреждений, реализующих программы СПО</t>
  </si>
  <si>
    <t>Иркутский государственный университет</t>
  </si>
  <si>
    <t>708645.06.01</t>
  </si>
  <si>
    <t>Электрические машины: Уч.пос. / А.Л.Встовский - М.:НИЦ ИНФРА-М, СФУ,2025 - 462 с(СПО (СФУ))(п)</t>
  </si>
  <si>
    <t>ЭЛЕКТРИЧЕСКИЕ МАШИНЫ</t>
  </si>
  <si>
    <t>Встовский А.Л.</t>
  </si>
  <si>
    <t>978-5-16-019833-0</t>
  </si>
  <si>
    <t>08.02.09, 13.02.12, 13.02.13, 15.02.07, 15.02.10, 15.02.18, 27.02.04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</si>
  <si>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13.02.00 «Электро- и теплоэнергетика» (протокол № 4 от 25.02.2019)</t>
  </si>
  <si>
    <t>700582.07.01</t>
  </si>
  <si>
    <t>Электрический привод: Уч. / В.В.Москаленко - М.:НИЦ ИНФРА-М,2025 - 364 с.(СПО)(П)</t>
  </si>
  <si>
    <t>ЭЛЕКТРИЧЕСКИЙ ПРИВОД</t>
  </si>
  <si>
    <t>978-5-16-014733-8</t>
  </si>
  <si>
    <t>13.01.10, 13.02.01, 13.02.02, 13.02.04, 13.02.05, 13.02.07, 13.02.08, 13.02.09, 13.02.12, 13.02.13, 55.02.01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</si>
  <si>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укрупненной группе специальностей 13.02.00 «Электро- и теплоэнергетика»</t>
  </si>
  <si>
    <t>683138.04.01</t>
  </si>
  <si>
    <t>Электрический привод: Уч. / Е.М.Овсянников - М.:Форум, НИЦ ИНФРА-М,2025 - 224 с.(СПО)(П)</t>
  </si>
  <si>
    <t>978-5-00091-562-2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</si>
  <si>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укрупненной группе специальностей 23.02.00 «Техника и технологии наземного транспорта»</t>
  </si>
  <si>
    <t>054900.23.01</t>
  </si>
  <si>
    <t>Электрическое и электромех. оборуд.: Уч. / В.П.Шеховцов - 3 изд. - М.:НИЦ ИНФРА-М,2026 - 407 с.(СПО)(П)</t>
  </si>
  <si>
    <t>ЭЛЕКТРИЧЕСКОЕ И ЭЛЕКТРОМЕХАНИЧЕСКОЕ ОБОРУДОВАНИЕ, ИЗД.3</t>
  </si>
  <si>
    <t>978-5-16-013394-2</t>
  </si>
  <si>
    <t>08.02.01, 11.01.02, 11.01.09, 11.01.11, 11.01.12, 11.02.14, 12.01.04, 12.01.05, 12.01.06, 12.01.07, 12.02.04, 13.01.05, 13.02.01, 13.02.02, 13.02.07, 13.02.08, 13.02.09, 13.02.12, 13.02.13, 15.02.06, 15.02.09, 15.02.10</t>
  </si>
  <si>
    <t>Допущено Министерством образования и науки Российской Федерации в качестве учебника для студентов учреждений среднего профессионального образования, обучающихся по группе специальностей «Электротехника»</t>
  </si>
  <si>
    <t>704321.02.01</t>
  </si>
  <si>
    <t>Электробезопасность эксплуатации сельских электроуст.: Уч.пос. / М.А.Таранов-М.:Форум, НИЦ ИНФРА-М,2022-96 с.(О)</t>
  </si>
  <si>
    <t>ЭЛЕКТРОБЕЗОПАСНОСТЬ ЭКСПЛУАТАЦИИ СЕЛЬСКИХ ЭЛЕКТРОУСТАНОВОК</t>
  </si>
  <si>
    <t>Таранов М.А., Хорольский В.Я., Привалов Е.Е.</t>
  </si>
  <si>
    <t>978-5-00091-668-1</t>
  </si>
  <si>
    <t>13.01.10, 13.02.01, 13.02.02, 13.02.07, 13.02.09, 13.02.12, 13.02.13, 20.02.02, 20.02.03, 20.02.04, 21.01.08, 23.01.18, 35.02.07, 35.02.08, 35.02.16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</si>
  <si>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13.00.00 «Электро- и теплоэнергетика», 20.00.00 «Техносферная безопасность и природообустройство», 35.00.00 «Сельское, лесное и рыбное хозяйство» (протокол № 12 от 14.12.2020)</t>
  </si>
  <si>
    <t>042420.17.01</t>
  </si>
  <si>
    <t>Электронная техника: Уч./ М.В.Гальперин, - 2 изд., -М.:НИЦ ИНФРА-М,2024-352 с.(СПО)(П)</t>
  </si>
  <si>
    <t>ЭЛЕКТРОННАЯ ТЕХНИКА, ИЗД.2</t>
  </si>
  <si>
    <t>978-5-16-015415-2</t>
  </si>
  <si>
    <t>10.02.04, 11.02.03, 11.02.06, 11.02.07, 11.02.09, 11.02.11, 11.02.12, 11.02.13, 11.02.14, 11.02.15, 11.02.16, 11.02.17, 11.02.18, 12.02.01, 12.02.02, 12.02.03, 12.02.04, 12.02.05, 12.02.06, 12.02.07, 12.02.09, 12.02.10, 13.02.09, 13.02.12, 14.02.02, 21.02.15, 21.02.18, 24.02.04, 27.02.06</t>
  </si>
  <si>
    <t>Допущено Министерством образования и науки Российской Федерации в качестве учебника для студентов образовательных учреждений среднего профессионального образования, обучающихся по группам специальностей «Приборостроение», «Электроника и микроэлектроника, радиотехника и телекоммуникации», «Автоматизация и управление», «Информатика и вычислительная техника»</t>
  </si>
  <si>
    <t>094770.17.01</t>
  </si>
  <si>
    <t>Электронное библиографическое пособие: Практ. рук. / Е.В.Панкова - 2 изд. - М.:НИЦ ИНФРА-М,2026 - 127 с.(О)</t>
  </si>
  <si>
    <t>ЭЛЕКТРОННОЕ БИБЛИОГРАФИЧЕСКОЕ ПОСОБИЕ: ПРАКТИЧЕСКОЕ РУКОВОДСТВО ДЛЯ БИБЛИОТЕЧНЫХ РАБОТНИКОВ, ИЗД.2</t>
  </si>
  <si>
    <t>Панкова Е.В., Беркутова Л.С.</t>
  </si>
  <si>
    <t>Наука и практика</t>
  </si>
  <si>
    <t>978-5-16-015528-9</t>
  </si>
  <si>
    <t>42.03.03, 51.02.03, 51.03.06</t>
  </si>
  <si>
    <t>Санкт-Петербургский техникум библиотечных и информационных технологий</t>
  </si>
  <si>
    <t>094770.08.01</t>
  </si>
  <si>
    <t>Электронное библиографическое пособие: Практ. рук. / Е.В.Панкова - М.:Форум,НИЦ ИНФРА-М,2019-128с(О)</t>
  </si>
  <si>
    <t>ЭЛЕКТРОННОЕ БИБЛИОГРАФИЧЕСКОЕ ПОСОБИЕ</t>
  </si>
  <si>
    <t>978-5-91134-223-4</t>
  </si>
  <si>
    <t>Практическое руководство</t>
  </si>
  <si>
    <t>719355.04.01</t>
  </si>
  <si>
    <t>Электронные сис. управ. раб. дизель. двигателей: Уч.пос. / Под ред. Головина С.И. - М.:НИЦ ИНФРА-М,2026 - 160 с.(п)</t>
  </si>
  <si>
    <t>ЭЛЕКТРОННЫЕ СИСТЕМЫ УПРАВЛЕНИЯ РАБОТОЙ ДИЗЕЛЬНЫХ ДВИГАТЕЛЕЙ</t>
  </si>
  <si>
    <t>Карелина М.Ю., Кравченко И.Н., Коломейченко А.В. и др.</t>
  </si>
  <si>
    <t>978-5-16-015626-2</t>
  </si>
  <si>
    <t>13.02.13, 23.02.02, 23.02.03, 23.02.04, 23.02.05</t>
  </si>
  <si>
    <t>683139.02.01</t>
  </si>
  <si>
    <t>Электронные системы мобильных машин: Уч.пос. / А.В.Богатырев-М.:НИЦ ИНФРА-М,2023.-224 с.(СПО)(П)</t>
  </si>
  <si>
    <t>ЭЛЕКТРОННЫЕ СИСТЕМЫ МОБИЛЬНЫХ МАШИН</t>
  </si>
  <si>
    <t>Богатырев А.В.</t>
  </si>
  <si>
    <t>978-5-16-014015-5</t>
  </si>
  <si>
    <t>043400.25.01</t>
  </si>
  <si>
    <t>Электрооборудование автомобилей: Уч.пос. / И.С.Туревский - М.:НИЦ ИНФРА-М,2026. - 368 с.(п)</t>
  </si>
  <si>
    <t>ЭЛЕКТРООБОРУДОВАНИЕ АВТОМОБИЛЕЙ</t>
  </si>
  <si>
    <t>978-5-16-021191-6</t>
  </si>
  <si>
    <t>23.01.03, 23.01.17, 23.02.01, 23.02.02, 23.02.03, 23.02.04, 23.02.05, 23.02.07</t>
  </si>
  <si>
    <t>683140.03.01</t>
  </si>
  <si>
    <t>Электропреобразовательные устр. РЭС: Уч. /Г.Н.Арсеньев-2 изд.-М.:ИД ФОРУМ,НИЦ ИНФРА-М,2023-544с(СПО)</t>
  </si>
  <si>
    <t>ЭЛЕКТРОПРЕОБРАЗОВАТЕЛЬНЫЕ УСТРОЙСТВА РЭС, ИЗД.2</t>
  </si>
  <si>
    <t>Арсеньев Г.Н.</t>
  </si>
  <si>
    <t>978-5-8199-0806-8</t>
  </si>
  <si>
    <t>11.01.01, 11.01.02, 11.01.03, 11.01.04, 11.01.05, 11.01.06, 11.01.07, 11.01.08, 11.01.09, 11.01.10, 11.01.11, 11.01.12, 11.01.13, 11.02.03, 11.02.06, 11.02.07, 11.02.09, 11.02.11, 11.02.12, 11.02.13, 11.02.14, 11.02.15, 11.02.16, 11.02.17, 11.02.18, 24.02.04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</si>
  <si>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 специальностям УГС 11.02.00 «Электроника, радиотехника и системы связи»</t>
  </si>
  <si>
    <t>048900.20.01</t>
  </si>
  <si>
    <t>Электрорадиоизмерения: Уч. / Под ред. Сигов А.С., - 4 изд. - М.:НИЦ ИНФРА-М,2026. - 383 с.-(СПО)(п)</t>
  </si>
  <si>
    <t>ЭЛЕКТРОРАДИОИЗМЕРЕНИЯ, ИЗД.4</t>
  </si>
  <si>
    <t>Нефедов В.И., Сигов А.С., Битюков В.К. и др.</t>
  </si>
  <si>
    <t>978-5-16-021136-7</t>
  </si>
  <si>
    <t>11.01.02, 11.02.03, 11.02.06, 11.02.07, 11.02.09, 11.02.11, 11.02.13, 11.02.14, 11.02.15, 11.02.16, 11.02.17, 11.02.18, 11.02.19, 12.02.01, 12.02.03, 12.02.06, 12.02.07, 12.02.10, 24.02.04, 26.01.05, 27.02.06, 53.02.08, 55.02.01</t>
  </si>
  <si>
    <t>Допущено Министерством образования и науки Российской Федерации в качестве учебника для студентов учреждений среднего профессионального образования, обучающихся по группе специальностей 11.00.00 «Электроника, радиотехника и системы связи»</t>
  </si>
  <si>
    <t>132200.13.01</t>
  </si>
  <si>
    <t>Электроснабжение и электропотр. на предпр.: Уч. пос. / Е.Ф.Щербаков - 2 изд.- Форум:ИНФРА-М, 2025-495 с.(п)</t>
  </si>
  <si>
    <t>ЭЛЕКТРОСНАБЖЕНИЕ И ЭЛЕКТРОПОТРЕБЛЕНИЕ НА ПРЕДПРИЯТИЯХ, ИЗД.2</t>
  </si>
  <si>
    <t>Щербаков Е. Ф., Александров Д. С., Дубов А. Л.</t>
  </si>
  <si>
    <t>978-5-00091-650-6</t>
  </si>
  <si>
    <t>13.02.07, 13.02.13</t>
  </si>
  <si>
    <t>253900.07.01</t>
  </si>
  <si>
    <t>Электроснабжение предпр добычи и перераб...: Уч. / Ю.Д.Сибикин - М.:Форум,НИЦ ИНФРА-М,2022-352с(ПО)(п)</t>
  </si>
  <si>
    <t>ЭЛЕКТРОСНАБЖЕНИЕ ПРЕДПРИЯТИЙ ДОБЫЧИ И ПЕРЕРАБОТКИ НЕФТИ И ГАЗА</t>
  </si>
  <si>
    <t>978-5-91134-840-3</t>
  </si>
  <si>
    <t>13.02.07, 18.01.27, 18.01.28, 19.01.01</t>
  </si>
  <si>
    <t>Допущено Управлением по комплектованию и подготовке кадров в качестве учебника для учащихся средних профессиональных учебных заведений, обучающихся по специальности 240404 «Переработка нефти и газа»</t>
  </si>
  <si>
    <t>664389.12.01</t>
  </si>
  <si>
    <t>Электроснабжение промыш. и гражд. зданий: Уч. / Ю.Д.Сибикин - 5 изд. - М.:НИЦ ИНФРА-М,2025 - 405 с.(СПО)(П)</t>
  </si>
  <si>
    <t>ЭЛЕКТРОСНАБЖЕНИЕ ПРОМЫШЛЕННЫХ И ГРАЖДАНСКИХ ЗДАНИЙ, ИЗД.5</t>
  </si>
  <si>
    <t>978-5-16-013093-4</t>
  </si>
  <si>
    <t>08.01.29, 08.01.30, 08.01.31, 08.01.32, 08.02.09, 08.02.12, 10.02.04, 11.01.05, 11.02.13, 11.02.16, 12.02.01, 12.02.09, 13.01.03, 13.01.04, 13.01.05, 13.01.06, 13.01.07, 13.01.13, 13.01.14, 13.02.07, 13.02.09, 13.02.12, 13.02.13, 15.02.10, 18.01.03, 18.01.06, 18.01.08, 18.01.26, 18.01.27, 18.01.28, 19.01.09, 19.02.14, 21.01.03, 21.01.04, 21.01.10, 23.01.02, 23.01.06, 23.01.07, 23.01.08, 23.01.09, 23.01.10, 23.01.13, 23.01.14, 23.01.15, 23.01.17, 23.02.06, 24.01.04, 24.02.04, 25.02.03, 26.01.05, 26.02.04, 27.02.03, 27.02.04, 27.02.06, 27.02.07, 35.01.06, 35.01.15, 35.01.29, 55.02.01</t>
  </si>
  <si>
    <t>290700.11.01</t>
  </si>
  <si>
    <t>Электроснабжение промыш. предпр..: Уч.пос. / Ю.Д.Сибикин - 3 изд.-М.:Форум, НИЦ ИНФРА-М,2024.-367с(П)</t>
  </si>
  <si>
    <t>ЭЛЕКТРОСНАБЖЕНИЕ ПРОМЫШЛЕННЫХ ПРЕДПРИЯТИЙ И УСТАНОВОК, ИЗД.3</t>
  </si>
  <si>
    <t>Сибикин Ю.Д., Сибикин М.Ю., Яшков В.А.</t>
  </si>
  <si>
    <t>978-5-00091-612-4</t>
  </si>
  <si>
    <t>Рекомендовано Экспертным советом по профессиональному образованию Министерства образования и науки Российской Федерации в качестве учебного пособия</t>
  </si>
  <si>
    <t>793339.04.01</t>
  </si>
  <si>
    <t>Электроснабжение: Уч.пос. / Ю.Д.Сибикин, - 2 изд. - М.:НИЦ ИНФРА-М,2025 - 328 с.(СПО)(п)</t>
  </si>
  <si>
    <t>ЭЛЕКТРОСНАБЖЕНИЕ, ИЗД.2</t>
  </si>
  <si>
    <t>978-5-16-018038-0</t>
  </si>
  <si>
    <t>08.02.09, 11.01.02, 11.01.05, 11.02.15, 13.01.03, 13.01.04, 13.01.05, 13.01.06, 13.01.07, 13.01.10, 13.02.07, 13.02.09, 13.02.12, 13.02.13, 21.01.15, 26.01.05, 26.02.04, 26.02.05, 26.02.06, 35.01.15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</si>
  <si>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электроэнергетическим специальностям (протокол № 4 от 13.04.2022)</t>
  </si>
  <si>
    <t>711292.07.01</t>
  </si>
  <si>
    <t>Электротехника в примерах и задачах: Уч. / А.Е.Поляков - М.:Форум, НИЦ ИНФРА-М,2026 - 357 с.(СПО)(П)</t>
  </si>
  <si>
    <t>ЭЛЕКТРОТЕХНИКА В ПРИМЕРАХ И ЗАДАЧАХ</t>
  </si>
  <si>
    <t>Поляков А.Е., Чесноков А.В.</t>
  </si>
  <si>
    <t>978-5-00091-701-5</t>
  </si>
  <si>
    <t>00.02.39, 05.02.02, 13.02.07, 13.02.13, 19.02.14, 23.02.05, 26.02.04</t>
  </si>
  <si>
    <t>078400.19.01</t>
  </si>
  <si>
    <t>Электротехника и электроника: Уч. / М.В.Гальперин - 2 изд. - М.:Форум, НИЦ ИНФРА-М,2025 - 480 с.(СПО)(П)</t>
  </si>
  <si>
    <t>ЭЛЕКТРОТЕХНИКА И ЭЛЕКТРОНИКА, ИЗД.2</t>
  </si>
  <si>
    <t>978-5-00091-450-2</t>
  </si>
  <si>
    <t>00.02.39, 08.01.30, 08.02.12, 11.02.03, 13.02.07, 13.02.13, 15.02.18, 18.02.04, 19.01.09, 23.01.17, 23.02.05, 23.02.07</t>
  </si>
  <si>
    <t>690182.07.01</t>
  </si>
  <si>
    <t>Электротехника и электроника: Уч.пос. / С.Н.Маркелов - М.:НИЦ ИНФРА-М,2026 - 267 с.(СПО)(П)</t>
  </si>
  <si>
    <t>ЭЛЕКТРОТЕХНИКА И ЭЛЕКТРОНИКА</t>
  </si>
  <si>
    <t>Маркелов С.Н., Сазанов Б.Я.</t>
  </si>
  <si>
    <t>978-5-16-014453-5</t>
  </si>
  <si>
    <t>00.02.39, 13.02.02, 13.02.07, 13.02.13, 23.02.05, 27.02.06</t>
  </si>
  <si>
    <t>Допущено Министерством образования и науки Российской Федерации в качестве учебного пособия для студентов учреждений высшего и среднего профессионального образования, обучающихся по группе специальностей «Энергетика», «Электротехника», «Электроснабжение», «Эксплуатация транспортного электрооборудования и автоматики»</t>
  </si>
  <si>
    <t>103150.23.01</t>
  </si>
  <si>
    <t>Электротехника с основами электроники: Уч.пос. /А.К. Славинский - М.: ИД ФОРУМ, НИЦ ИНФРА-М, 2025 - 448с.(ПО)</t>
  </si>
  <si>
    <t>ЭЛЕКТРОТЕХНИКА С ОСНОВАМИ ЭЛЕКТРОНИКИ</t>
  </si>
  <si>
    <t>Славинский А. К., Туревский И. С.</t>
  </si>
  <si>
    <t>978-5-8199-0360-5</t>
  </si>
  <si>
    <t>00.02.39, 08.02.01, 09.02.01, 12.02.10, 15.01.05, 15.02.06, 15.02.09, 15.02.10, 15.02.18, 18.02.07, 18.02.09, 18.02.12, 18.02.13, 21.02.15, 21.02.18, 23.02.04, 26.02.04, 27.02.06, 27.02.07</t>
  </si>
  <si>
    <t>097650.20.01</t>
  </si>
  <si>
    <t>Электротехнические измерения: Уч.пос. / П.К.Хромоин - 3изд..-М.:Форум, НИЦ ИНФРА-М,2024.-288 с.-(П)</t>
  </si>
  <si>
    <t>ЭЛЕКТРОТЕХНИЧЕСКИЕ ИЗМЕРЕНИЯ, ИЗД.3</t>
  </si>
  <si>
    <t>Хромоин П. К.</t>
  </si>
  <si>
    <t>978-5-00091-462-5</t>
  </si>
  <si>
    <t>08.02.09, 09.02.01, 27.02.05, 27.02.06</t>
  </si>
  <si>
    <t>634146.09.01</t>
  </si>
  <si>
    <t>Электротехнические основы источников питания: Уч. / А.В.Ситников-М.:КУРС, НИЦ ИНФРА-М,2024-240с(СПО)</t>
  </si>
  <si>
    <t>ЭЛЕКТРОТЕХНИЧЕСКИЕ ОСНОВЫ ИСТОЧНИКОВ ПИТАНИЯ</t>
  </si>
  <si>
    <t>978-5-906818-76-8</t>
  </si>
  <si>
    <t>09.02.02, 11.02.15, 13.02.07</t>
  </si>
  <si>
    <t>Рекомендовано Экспертным советом при ГБОУ УМЦ ПО ДОгМ для использования в образовательном процессе профессиональных образовательных организаций города Москвы в качестве учебника для студентов среднего профессионального образования по специальности 09.02.02 «Компьютерные сети»</t>
  </si>
  <si>
    <t>712196.04.01</t>
  </si>
  <si>
    <t>Электроэнергетика: Уч.пос. / Ю.В.Шаров и др. - М.:Форум, НИЦ ИНФРА-М,2026 - 384 с.(СПО)(П)</t>
  </si>
  <si>
    <t>ЭЛЕКТРОЭНЕРГЕТИКА</t>
  </si>
  <si>
    <t>Шаров Ю.В., Хорольский В.Я., Таранов М.А. и др.</t>
  </si>
  <si>
    <t>978-5-16-021434-4</t>
  </si>
  <si>
    <t>13.02.07, 13.02.09, 13.02.12, 13.02.13, 14.02.01</t>
  </si>
  <si>
    <t>135050.13.01</t>
  </si>
  <si>
    <t>Энергосберегающие технологии в промыш.: Уч.пос. / А.М.Афонин - 2изд.-М.:Форум, НИЦ ИНФРА-М,2024.-271с(П)</t>
  </si>
  <si>
    <t>ЭНЕРГОСБЕРЕГАЮЩИЕ ТЕХНОЛОГИИ В ПРОМЫШЛЕННОСТИ, ИЗД.2</t>
  </si>
  <si>
    <t>978-5-00091-443-4</t>
  </si>
  <si>
    <t>08.02.01, 13.02.07, 13.02.12, 13.02.13</t>
  </si>
  <si>
    <t>123100.19.01</t>
  </si>
  <si>
    <t>Энергосбережение в жилищно-коммун. хоз.: Уч. / В.А.Комков - 2 изд. - М.:НИЦ ИНФРА-М,2026 - 204 с.(СПО)(П)</t>
  </si>
  <si>
    <t>ЭНЕРГОСБЕРЕЖЕНИЕ В ЖИЛИЩНО-КОММУНАЛЬНОМ ХОЗЯЙСТВЕ, ИЗД.2</t>
  </si>
  <si>
    <t>978-5-16-006849-7</t>
  </si>
  <si>
    <t>08.01.29, 08.01.31, 08.02.01, 08.02.02, 08.02.04, 08.02.08, 08.02.09, 08.02.13, 08.02.14</t>
  </si>
  <si>
    <t>Допущено Федеральным агентством по строительству и жилищно-коммунальному хозяйству в качестве учебного пособия для студентов средних специальных учебных заведений, обучающихся по строительным специальностям</t>
  </si>
  <si>
    <t>072730.15.01</t>
  </si>
  <si>
    <t>Этика деловых отношений: Уч. / Ю.Ю.Петрунин и др., - 2 изд. - М.:НИЦ ИНФРА-М,2025. - 161 с.(СПО)(п)</t>
  </si>
  <si>
    <t>ЭТИКА ДЕЛОВЫХ ОТНОШЕНИЙ, ИЗД.2</t>
  </si>
  <si>
    <t>Петрунин Ю.Ю., Борисов В.К., Панина Е.М. и др.</t>
  </si>
  <si>
    <t>978-5-16-017800-4</t>
  </si>
  <si>
    <t>38.02.02, 38.02.08, 39.02.03, 40.02.02, 42.02.01, 42.02.02, 43.02.01, 43.02.02, 43.02.06, 43.02.11, 43.02.16, 46.02.01, 51.02.02, 51.02.03</t>
  </si>
  <si>
    <t>072730.13.01</t>
  </si>
  <si>
    <t>Этика деловых отношений:Уч. / В.К.Борисов и др.-М.:ИД ФОРУМ, НИЦ ИНФРА-М,2020.-176 с..-(СПО)(о)</t>
  </si>
  <si>
    <t>ЭТИКА ДЕЛОВЫХ ОТНОШЕНИЙ</t>
  </si>
  <si>
    <t>Борисов В.К., Панина Е.М., Панов М.И. и др.</t>
  </si>
  <si>
    <t>978-5-8199-0844-0</t>
  </si>
  <si>
    <t>Рекомендовано Учебно-методическим советом СПО в качестве учебника для студентов учебных заведений, реализующих основную программу среднего профессионального образования на базе основного общего образования</t>
  </si>
  <si>
    <t>736062.01.01</t>
  </si>
  <si>
    <t>Этика: Уч.пос. / П.А.Егоров - М.:НИЦ ИНФРА-М,2020 - 158 с.-(СПО)(П)</t>
  </si>
  <si>
    <t>ЭТИКА</t>
  </si>
  <si>
    <t>Егоров П.А., Руднев В.Н.</t>
  </si>
  <si>
    <t>978-5-16-016206-5</t>
  </si>
  <si>
    <t>00.02.33, 34.02.01, 38.02.08, 39.02.03, 43.02.02, 43.02.11, 44.02.01, 44.02.02, 44.02.03, 46.02.01, 51.02.02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</si>
  <si>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гуманитарным специальностям (протокол № 19 от 09.12.2019)</t>
  </si>
  <si>
    <t>733608.01.01</t>
  </si>
  <si>
    <t>Этнокультурное развитие детей...: Уч.пос. / С.Н.Федорова - М.:Форум, НИЦ ИНФРА-М,2020 - 176 с.(П)</t>
  </si>
  <si>
    <t>ЭТНОКУЛЬТУРНОЕ РАЗВИТИЕ ДЕТЕЙ. ПСИХОЛОГО-ПЕДАГОГИЧЕСКОЕ СОПРОВОЖДЕНИЕ</t>
  </si>
  <si>
    <t>Федорова С.Н.</t>
  </si>
  <si>
    <t>978-5-00091-727-5</t>
  </si>
  <si>
    <t>44.02.01, 44.02.02, 44.02.03, 44.02.05, 44.02.06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</si>
  <si>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 (протокол № 17 от 11.11.2019)</t>
  </si>
  <si>
    <t>719488.09.01</t>
  </si>
  <si>
    <t>Язык программирования Python: практикум: Уч.пос. / Р.А.Жуков - М.:НИЦ ИНФРА-М,2026 - 216 с.-(СПО)(П)</t>
  </si>
  <si>
    <t>ЯЗЫК ПРОГРАММИРОВАНИЯ PYTHON. ПРАКТИКУМ</t>
  </si>
  <si>
    <t>Жуков Р.А.</t>
  </si>
  <si>
    <t>978-5-16-015638-5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</si>
  <si>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09.02.00 «Информатика и вычислительная техника», 38.02.00 «Экономика и управление» (протокол № 12 от 24.06.2019)</t>
  </si>
  <si>
    <t>Финансовый университет при Правительстве Российской Федерации, Тульский ф-л</t>
  </si>
  <si>
    <t>088400.15.01</t>
  </si>
  <si>
    <t>Языки программирования: Уч.пос. / О.Л.Голицына и др., - 3 изд. - М:Форум, НИЦ ИНФРА-М,2025. - 399 с.(СПО)(П)</t>
  </si>
  <si>
    <t>ЯЗЫКИ ПРОГРАММИРОВАНИЯ, ИЗД.3</t>
  </si>
  <si>
    <t>978-5-00091-613-1</t>
  </si>
  <si>
    <t>09.02.03</t>
  </si>
</sst>
</file>

<file path=xl/styles.xml><?xml version="1.0" encoding="utf-8"?>
<styleSheet xmlns="http://schemas.openxmlformats.org/spreadsheetml/2006/main">
  <numFmts count="1">
    <numFmt numFmtId="164" formatCode="[=0]&quot;&quot;;General"/>
  </numFmts>
  <fonts count="10">
    <font>
      <sz val="8"/>
      <name val="Arial"/>
    </font>
    <font>
      <b/>
      <sz val="11"/>
      <color rgb="FF000000"/>
      <name val="Calibri"/>
      <charset val="204"/>
    </font>
    <font>
      <b/>
      <sz val="16"/>
      <color rgb="FF000000"/>
      <name val="Calibri"/>
      <charset val="204"/>
    </font>
    <font>
      <b/>
      <u/>
      <sz val="11"/>
      <color rgb="FF000000"/>
      <name val="Calibri"/>
      <charset val="204"/>
    </font>
    <font>
      <sz val="11"/>
      <color rgb="FF000000"/>
      <name val="Calibri"/>
      <charset val="204"/>
    </font>
    <font>
      <u/>
      <sz val="11"/>
      <color rgb="FF0000FF"/>
      <name val="Calibri"/>
      <charset val="204"/>
    </font>
    <font>
      <sz val="8"/>
      <color rgb="FF000000"/>
      <name val="Arial"/>
      <charset val="204"/>
    </font>
    <font>
      <b/>
      <sz val="8"/>
      <color rgb="FF000000"/>
      <name val="Arial"/>
      <charset val="204"/>
    </font>
    <font>
      <u/>
      <sz val="8"/>
      <color rgb="FF0000FF"/>
      <name val="Calibri"/>
      <charset val="204"/>
    </font>
    <font>
      <u/>
      <sz val="8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AFAD2"/>
        <bgColor auto="1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0" fillId="0" borderId="0" xfId="0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9" fillId="0" borderId="1" xfId="1" applyBorder="1" applyAlignment="1" applyProtection="1">
      <alignment horizontal="left" wrapText="1"/>
    </xf>
    <xf numFmtId="0" fontId="9" fillId="0" borderId="4" xfId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AB1335"/>
  <sheetViews>
    <sheetView tabSelected="1" workbookViewId="0">
      <selection sqref="A1:E1"/>
    </sheetView>
  </sheetViews>
  <sheetFormatPr defaultColWidth="10.5" defaultRowHeight="11.45" customHeight="1"/>
  <cols>
    <col min="1" max="1" width="5.83203125" style="1" customWidth="1"/>
    <col min="2" max="2" width="13.83203125" style="1" customWidth="1"/>
    <col min="3" max="3" width="10.5" style="1" customWidth="1"/>
    <col min="4" max="4" width="53.5" style="1" customWidth="1"/>
    <col min="5" max="5" width="52.6640625" style="1" customWidth="1"/>
    <col min="6" max="6" width="21" style="1" customWidth="1"/>
    <col min="7" max="7" width="13" style="1" customWidth="1"/>
    <col min="8" max="8" width="19.33203125" style="1" customWidth="1"/>
    <col min="9" max="9" width="33.6640625" style="1" customWidth="1"/>
    <col min="10" max="10" width="6.33203125" style="1" customWidth="1"/>
    <col min="11" max="11" width="8.5" style="1" customWidth="1"/>
    <col min="12" max="12" width="8.1640625" style="1" customWidth="1"/>
    <col min="13" max="13" width="21.1640625" style="1" customWidth="1"/>
    <col min="14" max="14" width="43.5" style="1" customWidth="1"/>
    <col min="15" max="15" width="35.5" style="1" customWidth="1"/>
    <col min="16" max="16" width="34" style="1" customWidth="1"/>
    <col min="17" max="17" width="38.1640625" style="1" customWidth="1"/>
    <col min="18" max="19" width="10.5" style="1" customWidth="1"/>
    <col min="20" max="20" width="15.33203125" style="1" customWidth="1"/>
    <col min="21" max="21" width="15.1640625" style="1" customWidth="1"/>
    <col min="22" max="22" width="20.33203125" style="1" customWidth="1"/>
    <col min="23" max="23" width="55.83203125" style="1" customWidth="1"/>
    <col min="24" max="27" width="10.5" style="1" customWidth="1"/>
    <col min="28" max="28" width="17.83203125" style="1" customWidth="1"/>
  </cols>
  <sheetData>
    <row r="1" spans="1:28" s="1" customFormat="1" ht="15" customHeight="1">
      <c r="A1" s="15" t="s">
        <v>0</v>
      </c>
      <c r="B1" s="15"/>
      <c r="C1" s="15"/>
      <c r="D1" s="15"/>
      <c r="E1" s="15"/>
      <c r="F1" s="16" t="s">
        <v>1</v>
      </c>
      <c r="G1" s="16"/>
      <c r="H1" s="16"/>
      <c r="I1" s="16"/>
      <c r="J1" s="18" t="s">
        <v>2</v>
      </c>
      <c r="K1" s="18"/>
      <c r="L1" s="18"/>
      <c r="M1" s="18"/>
      <c r="N1" s="18"/>
      <c r="O1" s="18"/>
    </row>
    <row r="2" spans="1:28" s="1" customFormat="1" ht="15" customHeight="1">
      <c r="A2" s="19" t="s">
        <v>3</v>
      </c>
      <c r="B2" s="19"/>
      <c r="C2" s="19"/>
      <c r="D2" s="19"/>
      <c r="E2" s="19"/>
      <c r="F2" s="17"/>
      <c r="G2" s="17"/>
      <c r="H2" s="17"/>
      <c r="I2" s="17"/>
      <c r="J2" s="20" t="s">
        <v>4</v>
      </c>
      <c r="K2" s="20"/>
      <c r="L2" s="20"/>
      <c r="M2" s="20"/>
      <c r="N2" s="20"/>
      <c r="O2" s="20"/>
    </row>
    <row r="3" spans="1:28" s="1" customFormat="1" ht="15" customHeight="1">
      <c r="A3" s="19" t="s">
        <v>5</v>
      </c>
      <c r="B3" s="19"/>
      <c r="C3" s="19"/>
      <c r="D3" s="19"/>
      <c r="E3" s="19"/>
      <c r="F3" s="17"/>
      <c r="G3" s="17"/>
      <c r="H3" s="17"/>
      <c r="I3" s="17"/>
      <c r="J3" s="21"/>
      <c r="K3" s="21"/>
      <c r="L3" s="21"/>
      <c r="M3" s="21"/>
      <c r="N3" s="21"/>
      <c r="O3" s="21"/>
    </row>
    <row r="4" spans="1:28" s="1" customFormat="1" ht="15" customHeight="1">
      <c r="A4" s="23" t="str">
        <f>HYPERLINK("mailto:books@infra-m.ru", "mailto:books@infra-m.ru")</f>
        <v>mailto:books@infra-m.ru</v>
      </c>
      <c r="B4" s="22"/>
      <c r="C4" s="22"/>
      <c r="D4" s="22"/>
      <c r="E4" s="22"/>
      <c r="F4" s="17"/>
      <c r="G4" s="17"/>
      <c r="H4" s="17"/>
      <c r="I4" s="17"/>
      <c r="J4" s="21"/>
      <c r="K4" s="21"/>
      <c r="L4" s="21"/>
      <c r="M4" s="21"/>
      <c r="N4" s="21"/>
      <c r="O4" s="21"/>
    </row>
    <row r="5" spans="1:28" s="1" customFormat="1" ht="15" customHeight="1">
      <c r="A5" s="23" t="str">
        <f>HYPERLINK("https://infra-m.ru", "https://infra-m.ru")</f>
        <v>https://infra-m.ru</v>
      </c>
      <c r="B5" s="22"/>
      <c r="C5" s="22"/>
      <c r="D5" s="22"/>
      <c r="E5" s="22"/>
      <c r="F5" s="17"/>
      <c r="G5" s="17"/>
      <c r="H5" s="17"/>
      <c r="I5" s="17"/>
      <c r="J5" s="21"/>
      <c r="K5" s="21"/>
      <c r="L5" s="21"/>
      <c r="M5" s="21"/>
      <c r="N5" s="21"/>
      <c r="O5" s="21"/>
    </row>
    <row r="6" spans="1:28" s="1" customFormat="1" ht="11.1" customHeight="1"/>
    <row r="7" spans="1:28" s="2" customFormat="1" ht="21.95" customHeight="1">
      <c r="A7" s="3" t="s">
        <v>6</v>
      </c>
      <c r="B7" s="3" t="s">
        <v>7</v>
      </c>
      <c r="C7" s="3" t="s">
        <v>8</v>
      </c>
      <c r="D7" s="3" t="s">
        <v>9</v>
      </c>
      <c r="E7" s="3" t="s">
        <v>10</v>
      </c>
      <c r="F7" s="3" t="s">
        <v>11</v>
      </c>
      <c r="G7" s="3" t="s">
        <v>12</v>
      </c>
      <c r="H7" s="3" t="s">
        <v>13</v>
      </c>
      <c r="I7" s="3" t="s">
        <v>14</v>
      </c>
      <c r="J7" s="3" t="s">
        <v>15</v>
      </c>
      <c r="K7" s="3" t="s">
        <v>16</v>
      </c>
      <c r="L7" s="3" t="s">
        <v>17</v>
      </c>
      <c r="M7" s="3" t="s">
        <v>18</v>
      </c>
      <c r="N7" s="3" t="s">
        <v>19</v>
      </c>
      <c r="O7" s="3" t="s">
        <v>20</v>
      </c>
      <c r="P7" s="3" t="s">
        <v>21</v>
      </c>
      <c r="Q7" s="3" t="s">
        <v>22</v>
      </c>
      <c r="R7" s="3" t="s">
        <v>23</v>
      </c>
      <c r="S7" s="3" t="s">
        <v>24</v>
      </c>
      <c r="T7" s="3" t="s">
        <v>25</v>
      </c>
      <c r="U7" s="3" t="s">
        <v>26</v>
      </c>
      <c r="V7" s="3" t="s">
        <v>27</v>
      </c>
      <c r="W7" s="3" t="s">
        <v>28</v>
      </c>
      <c r="X7" s="3" t="s">
        <v>29</v>
      </c>
      <c r="Y7" s="3" t="s">
        <v>30</v>
      </c>
      <c r="Z7" s="3" t="s">
        <v>31</v>
      </c>
      <c r="AA7" s="3" t="s">
        <v>32</v>
      </c>
      <c r="AB7" s="3" t="s">
        <v>33</v>
      </c>
    </row>
    <row r="8" spans="1:28" s="4" customFormat="1" ht="51.95" customHeight="1">
      <c r="A8" s="5">
        <v>0</v>
      </c>
      <c r="B8" s="6" t="s">
        <v>34</v>
      </c>
      <c r="C8" s="7">
        <v>1734</v>
      </c>
      <c r="D8" s="8" t="s">
        <v>35</v>
      </c>
      <c r="E8" s="8" t="s">
        <v>36</v>
      </c>
      <c r="F8" s="8" t="s">
        <v>37</v>
      </c>
      <c r="G8" s="6" t="s">
        <v>38</v>
      </c>
      <c r="H8" s="6" t="s">
        <v>39</v>
      </c>
      <c r="I8" s="8" t="s">
        <v>40</v>
      </c>
      <c r="J8" s="9">
        <v>1</v>
      </c>
      <c r="K8" s="9">
        <v>333</v>
      </c>
      <c r="L8" s="9">
        <v>2025</v>
      </c>
      <c r="M8" s="8" t="s">
        <v>41</v>
      </c>
      <c r="N8" s="8" t="s">
        <v>42</v>
      </c>
      <c r="O8" s="8" t="s">
        <v>43</v>
      </c>
      <c r="P8" s="6" t="s">
        <v>44</v>
      </c>
      <c r="Q8" s="8" t="s">
        <v>45</v>
      </c>
      <c r="R8" s="10" t="s">
        <v>46</v>
      </c>
      <c r="S8" s="11"/>
      <c r="T8" s="6"/>
      <c r="U8" s="24" t="str">
        <f>HYPERLINK("https://media.infra-m.ru/2205/2205418/cover/2205418.jpg", "Обложка")</f>
        <v>Обложка</v>
      </c>
      <c r="V8" s="24" t="str">
        <f>HYPERLINK("https://znanium.ru/catalog/product/2170276", "Ознакомиться")</f>
        <v>Ознакомиться</v>
      </c>
      <c r="W8" s="8" t="s">
        <v>47</v>
      </c>
      <c r="X8" s="6"/>
      <c r="Y8" s="6"/>
      <c r="Z8" s="6" t="s">
        <v>48</v>
      </c>
      <c r="AA8" s="6" t="s">
        <v>49</v>
      </c>
      <c r="AB8" s="8"/>
    </row>
    <row r="9" spans="1:28" s="4" customFormat="1" ht="44.1" customHeight="1">
      <c r="A9" s="5">
        <v>0</v>
      </c>
      <c r="B9" s="6" t="s">
        <v>50</v>
      </c>
      <c r="C9" s="7">
        <v>1750</v>
      </c>
      <c r="D9" s="8" t="s">
        <v>51</v>
      </c>
      <c r="E9" s="8" t="s">
        <v>52</v>
      </c>
      <c r="F9" s="8" t="s">
        <v>53</v>
      </c>
      <c r="G9" s="6" t="s">
        <v>38</v>
      </c>
      <c r="H9" s="6" t="s">
        <v>54</v>
      </c>
      <c r="I9" s="8" t="s">
        <v>40</v>
      </c>
      <c r="J9" s="9">
        <v>1</v>
      </c>
      <c r="K9" s="9">
        <v>354</v>
      </c>
      <c r="L9" s="9">
        <v>2026</v>
      </c>
      <c r="M9" s="8" t="s">
        <v>55</v>
      </c>
      <c r="N9" s="8" t="s">
        <v>56</v>
      </c>
      <c r="O9" s="8" t="s">
        <v>57</v>
      </c>
      <c r="P9" s="6" t="s">
        <v>58</v>
      </c>
      <c r="Q9" s="8" t="s">
        <v>45</v>
      </c>
      <c r="R9" s="10" t="s">
        <v>59</v>
      </c>
      <c r="S9" s="11"/>
      <c r="T9" s="6"/>
      <c r="U9" s="24" t="str">
        <f>HYPERLINK("https://media.infra-m.ru/2204/2204713/cover/2204713.jpg", "Обложка")</f>
        <v>Обложка</v>
      </c>
      <c r="V9" s="24" t="str">
        <f>HYPERLINK("https://znanium.ru/catalog/product/2204713", "Ознакомиться")</f>
        <v>Ознакомиться</v>
      </c>
      <c r="W9" s="8" t="s">
        <v>60</v>
      </c>
      <c r="X9" s="6" t="s">
        <v>61</v>
      </c>
      <c r="Y9" s="6"/>
      <c r="Z9" s="6"/>
      <c r="AA9" s="6" t="s">
        <v>62</v>
      </c>
      <c r="AB9" s="8"/>
    </row>
    <row r="10" spans="1:28" s="4" customFormat="1" ht="51.95" customHeight="1">
      <c r="A10" s="5">
        <v>0</v>
      </c>
      <c r="B10" s="6" t="s">
        <v>63</v>
      </c>
      <c r="C10" s="13">
        <v>765</v>
      </c>
      <c r="D10" s="8" t="s">
        <v>64</v>
      </c>
      <c r="E10" s="8" t="s">
        <v>65</v>
      </c>
      <c r="F10" s="8" t="s">
        <v>66</v>
      </c>
      <c r="G10" s="6" t="s">
        <v>67</v>
      </c>
      <c r="H10" s="6" t="s">
        <v>68</v>
      </c>
      <c r="I10" s="8" t="s">
        <v>69</v>
      </c>
      <c r="J10" s="9">
        <v>1</v>
      </c>
      <c r="K10" s="9">
        <v>138</v>
      </c>
      <c r="L10" s="9">
        <v>2026</v>
      </c>
      <c r="M10" s="8" t="s">
        <v>70</v>
      </c>
      <c r="N10" s="8" t="s">
        <v>42</v>
      </c>
      <c r="O10" s="8" t="s">
        <v>43</v>
      </c>
      <c r="P10" s="6" t="s">
        <v>71</v>
      </c>
      <c r="Q10" s="8" t="s">
        <v>45</v>
      </c>
      <c r="R10" s="10" t="s">
        <v>72</v>
      </c>
      <c r="S10" s="11"/>
      <c r="T10" s="6"/>
      <c r="U10" s="24" t="str">
        <f>HYPERLINK("https://media.infra-m.ru/2219/2219684/cover/2219684.jpg", "Обложка")</f>
        <v>Обложка</v>
      </c>
      <c r="V10" s="24" t="str">
        <f>HYPERLINK("https://znanium.ru/catalog/product/2093909", "Ознакомиться")</f>
        <v>Ознакомиться</v>
      </c>
      <c r="W10" s="8" t="s">
        <v>73</v>
      </c>
      <c r="X10" s="6"/>
      <c r="Y10" s="6"/>
      <c r="Z10" s="6" t="s">
        <v>48</v>
      </c>
      <c r="AA10" s="6" t="s">
        <v>74</v>
      </c>
      <c r="AB10" s="8"/>
    </row>
    <row r="11" spans="1:28" s="4" customFormat="1" ht="42" customHeight="1">
      <c r="A11" s="5">
        <v>0</v>
      </c>
      <c r="B11" s="6" t="s">
        <v>75</v>
      </c>
      <c r="C11" s="7">
        <v>2250</v>
      </c>
      <c r="D11" s="8" t="s">
        <v>76</v>
      </c>
      <c r="E11" s="8" t="s">
        <v>77</v>
      </c>
      <c r="F11" s="8" t="s">
        <v>78</v>
      </c>
      <c r="G11" s="6" t="s">
        <v>38</v>
      </c>
      <c r="H11" s="6" t="s">
        <v>54</v>
      </c>
      <c r="I11" s="8" t="s">
        <v>79</v>
      </c>
      <c r="J11" s="9">
        <v>1</v>
      </c>
      <c r="K11" s="9">
        <v>437</v>
      </c>
      <c r="L11" s="9">
        <v>2025</v>
      </c>
      <c r="M11" s="8" t="s">
        <v>80</v>
      </c>
      <c r="N11" s="8" t="s">
        <v>56</v>
      </c>
      <c r="O11" s="8" t="s">
        <v>57</v>
      </c>
      <c r="P11" s="6" t="s">
        <v>58</v>
      </c>
      <c r="Q11" s="8" t="s">
        <v>45</v>
      </c>
      <c r="R11" s="10" t="s">
        <v>81</v>
      </c>
      <c r="S11" s="11"/>
      <c r="T11" s="6"/>
      <c r="U11" s="24" t="str">
        <f>HYPERLINK("https://media.infra-m.ru/2167/2167737/cover/2167737.jpg", "Обложка")</f>
        <v>Обложка</v>
      </c>
      <c r="V11" s="24" t="str">
        <f>HYPERLINK("https://znanium.ru/catalog/product/2167737", "Ознакомиться")</f>
        <v>Ознакомиться</v>
      </c>
      <c r="W11" s="8" t="s">
        <v>82</v>
      </c>
      <c r="X11" s="6" t="s">
        <v>83</v>
      </c>
      <c r="Y11" s="6"/>
      <c r="Z11" s="6"/>
      <c r="AA11" s="6" t="s">
        <v>84</v>
      </c>
      <c r="AB11" s="8" t="s">
        <v>85</v>
      </c>
    </row>
    <row r="12" spans="1:28" s="4" customFormat="1" ht="51.95" customHeight="1">
      <c r="A12" s="5">
        <v>0</v>
      </c>
      <c r="B12" s="6" t="s">
        <v>86</v>
      </c>
      <c r="C12" s="7">
        <v>2240</v>
      </c>
      <c r="D12" s="8" t="s">
        <v>87</v>
      </c>
      <c r="E12" s="8" t="s">
        <v>88</v>
      </c>
      <c r="F12" s="8" t="s">
        <v>89</v>
      </c>
      <c r="G12" s="6" t="s">
        <v>90</v>
      </c>
      <c r="H12" s="6" t="s">
        <v>39</v>
      </c>
      <c r="I12" s="8" t="s">
        <v>40</v>
      </c>
      <c r="J12" s="9">
        <v>1</v>
      </c>
      <c r="K12" s="9">
        <v>383</v>
      </c>
      <c r="L12" s="9">
        <v>2023</v>
      </c>
      <c r="M12" s="8" t="s">
        <v>91</v>
      </c>
      <c r="N12" s="8" t="s">
        <v>56</v>
      </c>
      <c r="O12" s="8" t="s">
        <v>57</v>
      </c>
      <c r="P12" s="6" t="s">
        <v>58</v>
      </c>
      <c r="Q12" s="8" t="s">
        <v>45</v>
      </c>
      <c r="R12" s="10" t="s">
        <v>92</v>
      </c>
      <c r="S12" s="11" t="s">
        <v>93</v>
      </c>
      <c r="T12" s="6"/>
      <c r="U12" s="24" t="str">
        <f>HYPERLINK("https://media.infra-m.ru/1921/1921403/cover/1921403.jpg", "Обложка")</f>
        <v>Обложка</v>
      </c>
      <c r="V12" s="24" t="str">
        <f>HYPERLINK("https://znanium.ru/catalog/product/2180516", "Ознакомиться")</f>
        <v>Ознакомиться</v>
      </c>
      <c r="W12" s="8" t="s">
        <v>94</v>
      </c>
      <c r="X12" s="6"/>
      <c r="Y12" s="6" t="s">
        <v>30</v>
      </c>
      <c r="Z12" s="6"/>
      <c r="AA12" s="6" t="s">
        <v>95</v>
      </c>
      <c r="AB12" s="8"/>
    </row>
    <row r="13" spans="1:28" s="4" customFormat="1" ht="51.95" customHeight="1">
      <c r="A13" s="5">
        <v>0</v>
      </c>
      <c r="B13" s="6" t="s">
        <v>96</v>
      </c>
      <c r="C13" s="7">
        <v>2130</v>
      </c>
      <c r="D13" s="8" t="s">
        <v>97</v>
      </c>
      <c r="E13" s="8" t="s">
        <v>98</v>
      </c>
      <c r="F13" s="8" t="s">
        <v>99</v>
      </c>
      <c r="G13" s="6" t="s">
        <v>38</v>
      </c>
      <c r="H13" s="6" t="s">
        <v>54</v>
      </c>
      <c r="I13" s="8" t="s">
        <v>79</v>
      </c>
      <c r="J13" s="9">
        <v>1</v>
      </c>
      <c r="K13" s="9">
        <v>462</v>
      </c>
      <c r="L13" s="9">
        <v>2023</v>
      </c>
      <c r="M13" s="8" t="s">
        <v>100</v>
      </c>
      <c r="N13" s="8" t="s">
        <v>56</v>
      </c>
      <c r="O13" s="8" t="s">
        <v>57</v>
      </c>
      <c r="P13" s="6" t="s">
        <v>58</v>
      </c>
      <c r="Q13" s="8" t="s">
        <v>45</v>
      </c>
      <c r="R13" s="10" t="s">
        <v>101</v>
      </c>
      <c r="S13" s="11"/>
      <c r="T13" s="6"/>
      <c r="U13" s="24" t="str">
        <f>HYPERLINK("https://media.infra-m.ru/2016/2016340/cover/2016340.jpg", "Обложка")</f>
        <v>Обложка</v>
      </c>
      <c r="V13" s="24" t="str">
        <f>HYPERLINK("https://znanium.ru/catalog/product/2016340", "Ознакомиться")</f>
        <v>Ознакомиться</v>
      </c>
      <c r="W13" s="8" t="s">
        <v>82</v>
      </c>
      <c r="X13" s="6"/>
      <c r="Y13" s="6"/>
      <c r="Z13" s="6"/>
      <c r="AA13" s="6" t="s">
        <v>102</v>
      </c>
      <c r="AB13" s="8"/>
    </row>
    <row r="14" spans="1:28" s="4" customFormat="1" ht="51.95" customHeight="1">
      <c r="A14" s="5">
        <v>0</v>
      </c>
      <c r="B14" s="6" t="s">
        <v>103</v>
      </c>
      <c r="C14" s="7">
        <v>1330</v>
      </c>
      <c r="D14" s="8" t="s">
        <v>104</v>
      </c>
      <c r="E14" s="8" t="s">
        <v>105</v>
      </c>
      <c r="F14" s="8" t="s">
        <v>106</v>
      </c>
      <c r="G14" s="6" t="s">
        <v>90</v>
      </c>
      <c r="H14" s="6" t="s">
        <v>54</v>
      </c>
      <c r="I14" s="8" t="s">
        <v>40</v>
      </c>
      <c r="J14" s="9">
        <v>1</v>
      </c>
      <c r="K14" s="9">
        <v>282</v>
      </c>
      <c r="L14" s="9">
        <v>2024</v>
      </c>
      <c r="M14" s="8" t="s">
        <v>107</v>
      </c>
      <c r="N14" s="8" t="s">
        <v>56</v>
      </c>
      <c r="O14" s="8" t="s">
        <v>57</v>
      </c>
      <c r="P14" s="6" t="s">
        <v>44</v>
      </c>
      <c r="Q14" s="8" t="s">
        <v>45</v>
      </c>
      <c r="R14" s="10" t="s">
        <v>108</v>
      </c>
      <c r="S14" s="11" t="s">
        <v>109</v>
      </c>
      <c r="T14" s="6"/>
      <c r="U14" s="24" t="str">
        <f>HYPERLINK("https://media.infra-m.ru/2152/2152107/cover/2152107.jpg", "Обложка")</f>
        <v>Обложка</v>
      </c>
      <c r="V14" s="24" t="str">
        <f>HYPERLINK("https://znanium.ru/catalog/product/2152107", "Ознакомиться")</f>
        <v>Ознакомиться</v>
      </c>
      <c r="W14" s="8" t="s">
        <v>110</v>
      </c>
      <c r="X14" s="6"/>
      <c r="Y14" s="6"/>
      <c r="Z14" s="6" t="s">
        <v>48</v>
      </c>
      <c r="AA14" s="6" t="s">
        <v>111</v>
      </c>
      <c r="AB14" s="8"/>
    </row>
    <row r="15" spans="1:28" s="4" customFormat="1" ht="51.95" customHeight="1">
      <c r="A15" s="5">
        <v>0</v>
      </c>
      <c r="B15" s="6" t="s">
        <v>112</v>
      </c>
      <c r="C15" s="7">
        <v>1570</v>
      </c>
      <c r="D15" s="8" t="s">
        <v>113</v>
      </c>
      <c r="E15" s="8" t="s">
        <v>114</v>
      </c>
      <c r="F15" s="8" t="s">
        <v>115</v>
      </c>
      <c r="G15" s="6" t="s">
        <v>90</v>
      </c>
      <c r="H15" s="6" t="s">
        <v>54</v>
      </c>
      <c r="I15" s="8" t="s">
        <v>40</v>
      </c>
      <c r="J15" s="9">
        <v>1</v>
      </c>
      <c r="K15" s="9">
        <v>314</v>
      </c>
      <c r="L15" s="9">
        <v>2025</v>
      </c>
      <c r="M15" s="8" t="s">
        <v>116</v>
      </c>
      <c r="N15" s="8" t="s">
        <v>56</v>
      </c>
      <c r="O15" s="8" t="s">
        <v>57</v>
      </c>
      <c r="P15" s="6" t="s">
        <v>58</v>
      </c>
      <c r="Q15" s="8" t="s">
        <v>45</v>
      </c>
      <c r="R15" s="10" t="s">
        <v>108</v>
      </c>
      <c r="S15" s="11" t="s">
        <v>117</v>
      </c>
      <c r="T15" s="6" t="s">
        <v>118</v>
      </c>
      <c r="U15" s="24" t="str">
        <f>HYPERLINK("https://media.infra-m.ru/2163/2163063/cover/2163063.jpg", "Обложка")</f>
        <v>Обложка</v>
      </c>
      <c r="V15" s="24" t="str">
        <f>HYPERLINK("https://znanium.ru/catalog/product/2163063", "Ознакомиться")</f>
        <v>Ознакомиться</v>
      </c>
      <c r="W15" s="8" t="s">
        <v>119</v>
      </c>
      <c r="X15" s="6"/>
      <c r="Y15" s="6"/>
      <c r="Z15" s="6" t="s">
        <v>48</v>
      </c>
      <c r="AA15" s="6" t="s">
        <v>111</v>
      </c>
      <c r="AB15" s="8"/>
    </row>
    <row r="16" spans="1:28" s="4" customFormat="1" ht="51.95" customHeight="1">
      <c r="A16" s="5">
        <v>0</v>
      </c>
      <c r="B16" s="6" t="s">
        <v>120</v>
      </c>
      <c r="C16" s="7">
        <v>1550</v>
      </c>
      <c r="D16" s="8" t="s">
        <v>121</v>
      </c>
      <c r="E16" s="8" t="s">
        <v>122</v>
      </c>
      <c r="F16" s="8" t="s">
        <v>123</v>
      </c>
      <c r="G16" s="6" t="s">
        <v>90</v>
      </c>
      <c r="H16" s="6" t="s">
        <v>54</v>
      </c>
      <c r="I16" s="8"/>
      <c r="J16" s="9">
        <v>1</v>
      </c>
      <c r="K16" s="9">
        <v>298</v>
      </c>
      <c r="L16" s="9">
        <v>2025</v>
      </c>
      <c r="M16" s="8" t="s">
        <v>124</v>
      </c>
      <c r="N16" s="8" t="s">
        <v>125</v>
      </c>
      <c r="O16" s="8" t="s">
        <v>126</v>
      </c>
      <c r="P16" s="6" t="s">
        <v>58</v>
      </c>
      <c r="Q16" s="8" t="s">
        <v>45</v>
      </c>
      <c r="R16" s="10" t="s">
        <v>127</v>
      </c>
      <c r="S16" s="11" t="s">
        <v>128</v>
      </c>
      <c r="T16" s="6" t="s">
        <v>118</v>
      </c>
      <c r="U16" s="24" t="str">
        <f>HYPERLINK("https://media.infra-m.ru/2204/2204267/cover/2204267.jpg", "Обложка")</f>
        <v>Обложка</v>
      </c>
      <c r="V16" s="24" t="str">
        <f>HYPERLINK("https://znanium.ru/catalog/product/2204267", "Ознакомиться")</f>
        <v>Ознакомиться</v>
      </c>
      <c r="W16" s="8" t="s">
        <v>82</v>
      </c>
      <c r="X16" s="6"/>
      <c r="Y16" s="6"/>
      <c r="Z16" s="6" t="s">
        <v>48</v>
      </c>
      <c r="AA16" s="6" t="s">
        <v>129</v>
      </c>
      <c r="AB16" s="8"/>
    </row>
    <row r="17" spans="1:28" s="4" customFormat="1" ht="51.95" customHeight="1">
      <c r="A17" s="5">
        <v>0</v>
      </c>
      <c r="B17" s="6" t="s">
        <v>130</v>
      </c>
      <c r="C17" s="7">
        <v>1240</v>
      </c>
      <c r="D17" s="8" t="s">
        <v>131</v>
      </c>
      <c r="E17" s="8" t="s">
        <v>132</v>
      </c>
      <c r="F17" s="8" t="s">
        <v>133</v>
      </c>
      <c r="G17" s="6" t="s">
        <v>90</v>
      </c>
      <c r="H17" s="6" t="s">
        <v>134</v>
      </c>
      <c r="I17" s="8" t="s">
        <v>40</v>
      </c>
      <c r="J17" s="9">
        <v>1</v>
      </c>
      <c r="K17" s="9">
        <v>238</v>
      </c>
      <c r="L17" s="9">
        <v>2025</v>
      </c>
      <c r="M17" s="8" t="s">
        <v>135</v>
      </c>
      <c r="N17" s="8" t="s">
        <v>125</v>
      </c>
      <c r="O17" s="8" t="s">
        <v>126</v>
      </c>
      <c r="P17" s="6" t="s">
        <v>44</v>
      </c>
      <c r="Q17" s="8" t="s">
        <v>45</v>
      </c>
      <c r="R17" s="10" t="s">
        <v>136</v>
      </c>
      <c r="S17" s="11" t="s">
        <v>137</v>
      </c>
      <c r="T17" s="6"/>
      <c r="U17" s="24" t="str">
        <f>HYPERLINK("https://media.infra-m.ru/2187/2187785/cover/2187785.jpg", "Обложка")</f>
        <v>Обложка</v>
      </c>
      <c r="V17" s="24" t="str">
        <f>HYPERLINK("https://znanium.ru/catalog/product/2187785", "Ознакомиться")</f>
        <v>Ознакомиться</v>
      </c>
      <c r="W17" s="8" t="s">
        <v>138</v>
      </c>
      <c r="X17" s="6"/>
      <c r="Y17" s="6"/>
      <c r="Z17" s="6" t="s">
        <v>48</v>
      </c>
      <c r="AA17" s="6" t="s">
        <v>74</v>
      </c>
      <c r="AB17" s="8"/>
    </row>
    <row r="18" spans="1:28" s="4" customFormat="1" ht="51.95" customHeight="1">
      <c r="A18" s="5">
        <v>0</v>
      </c>
      <c r="B18" s="6" t="s">
        <v>139</v>
      </c>
      <c r="C18" s="13">
        <v>660</v>
      </c>
      <c r="D18" s="8" t="s">
        <v>140</v>
      </c>
      <c r="E18" s="8" t="s">
        <v>141</v>
      </c>
      <c r="F18" s="8" t="s">
        <v>142</v>
      </c>
      <c r="G18" s="6" t="s">
        <v>67</v>
      </c>
      <c r="H18" s="6" t="s">
        <v>54</v>
      </c>
      <c r="I18" s="8" t="s">
        <v>40</v>
      </c>
      <c r="J18" s="9">
        <v>1</v>
      </c>
      <c r="K18" s="9">
        <v>120</v>
      </c>
      <c r="L18" s="9">
        <v>2025</v>
      </c>
      <c r="M18" s="8" t="s">
        <v>143</v>
      </c>
      <c r="N18" s="8" t="s">
        <v>56</v>
      </c>
      <c r="O18" s="8" t="s">
        <v>57</v>
      </c>
      <c r="P18" s="6" t="s">
        <v>58</v>
      </c>
      <c r="Q18" s="8" t="s">
        <v>45</v>
      </c>
      <c r="R18" s="10" t="s">
        <v>144</v>
      </c>
      <c r="S18" s="11" t="s">
        <v>145</v>
      </c>
      <c r="T18" s="6"/>
      <c r="U18" s="24" t="str">
        <f>HYPERLINK("https://media.infra-m.ru/2187/2187014/cover/2187014.jpg", "Обложка")</f>
        <v>Обложка</v>
      </c>
      <c r="V18" s="24" t="str">
        <f>HYPERLINK("https://znanium.ru/catalog/product/2082173", "Ознакомиться")</f>
        <v>Ознакомиться</v>
      </c>
      <c r="W18" s="8" t="s">
        <v>146</v>
      </c>
      <c r="X18" s="6"/>
      <c r="Y18" s="6" t="s">
        <v>30</v>
      </c>
      <c r="Z18" s="6"/>
      <c r="AA18" s="6" t="s">
        <v>147</v>
      </c>
      <c r="AB18" s="8"/>
    </row>
    <row r="19" spans="1:28" s="4" customFormat="1" ht="51.95" customHeight="1">
      <c r="A19" s="5">
        <v>0</v>
      </c>
      <c r="B19" s="6" t="s">
        <v>148</v>
      </c>
      <c r="C19" s="7">
        <v>1400</v>
      </c>
      <c r="D19" s="8" t="s">
        <v>149</v>
      </c>
      <c r="E19" s="8" t="s">
        <v>150</v>
      </c>
      <c r="F19" s="8" t="s">
        <v>151</v>
      </c>
      <c r="G19" s="6" t="s">
        <v>90</v>
      </c>
      <c r="H19" s="6" t="s">
        <v>54</v>
      </c>
      <c r="I19" s="8" t="s">
        <v>40</v>
      </c>
      <c r="J19" s="9">
        <v>1</v>
      </c>
      <c r="K19" s="9">
        <v>269</v>
      </c>
      <c r="L19" s="9">
        <v>2025</v>
      </c>
      <c r="M19" s="8" t="s">
        <v>152</v>
      </c>
      <c r="N19" s="8" t="s">
        <v>42</v>
      </c>
      <c r="O19" s="8" t="s">
        <v>43</v>
      </c>
      <c r="P19" s="6" t="s">
        <v>153</v>
      </c>
      <c r="Q19" s="8" t="s">
        <v>45</v>
      </c>
      <c r="R19" s="10" t="s">
        <v>154</v>
      </c>
      <c r="S19" s="11"/>
      <c r="T19" s="6" t="s">
        <v>118</v>
      </c>
      <c r="U19" s="24" t="str">
        <f>HYPERLINK("https://media.infra-m.ru/2141/2141697/cover/2141697.jpg", "Обложка")</f>
        <v>Обложка</v>
      </c>
      <c r="V19" s="24" t="str">
        <f>HYPERLINK("https://znanium.ru/catalog/product/1891781", "Ознакомиться")</f>
        <v>Ознакомиться</v>
      </c>
      <c r="W19" s="8" t="s">
        <v>155</v>
      </c>
      <c r="X19" s="6"/>
      <c r="Y19" s="6"/>
      <c r="Z19" s="6" t="s">
        <v>156</v>
      </c>
      <c r="AA19" s="6" t="s">
        <v>129</v>
      </c>
      <c r="AB19" s="8"/>
    </row>
    <row r="20" spans="1:28" s="4" customFormat="1" ht="51.95" customHeight="1">
      <c r="A20" s="5">
        <v>0</v>
      </c>
      <c r="B20" s="6" t="s">
        <v>157</v>
      </c>
      <c r="C20" s="7">
        <v>2097</v>
      </c>
      <c r="D20" s="8" t="s">
        <v>158</v>
      </c>
      <c r="E20" s="8" t="s">
        <v>159</v>
      </c>
      <c r="F20" s="8" t="s">
        <v>160</v>
      </c>
      <c r="G20" s="6" t="s">
        <v>90</v>
      </c>
      <c r="H20" s="6" t="s">
        <v>39</v>
      </c>
      <c r="I20" s="8" t="s">
        <v>40</v>
      </c>
      <c r="J20" s="9">
        <v>1</v>
      </c>
      <c r="K20" s="9">
        <v>359</v>
      </c>
      <c r="L20" s="9">
        <v>2023</v>
      </c>
      <c r="M20" s="8" t="s">
        <v>161</v>
      </c>
      <c r="N20" s="8" t="s">
        <v>56</v>
      </c>
      <c r="O20" s="8" t="s">
        <v>57</v>
      </c>
      <c r="P20" s="6" t="s">
        <v>58</v>
      </c>
      <c r="Q20" s="8" t="s">
        <v>45</v>
      </c>
      <c r="R20" s="10" t="s">
        <v>162</v>
      </c>
      <c r="S20" s="11" t="s">
        <v>163</v>
      </c>
      <c r="T20" s="6"/>
      <c r="U20" s="24" t="str">
        <f>HYPERLINK("https://media.infra-m.ru/1891/1891782/cover/1891782.jpg", "Обложка")</f>
        <v>Обложка</v>
      </c>
      <c r="V20" s="24" t="str">
        <f>HYPERLINK("https://znanium.ru/catalog/product/1009557", "Ознакомиться")</f>
        <v>Ознакомиться</v>
      </c>
      <c r="W20" s="8"/>
      <c r="X20" s="6"/>
      <c r="Y20" s="6"/>
      <c r="Z20" s="6" t="s">
        <v>48</v>
      </c>
      <c r="AA20" s="6" t="s">
        <v>74</v>
      </c>
      <c r="AB20" s="8"/>
    </row>
    <row r="21" spans="1:28" s="4" customFormat="1" ht="51.95" customHeight="1">
      <c r="A21" s="5">
        <v>0</v>
      </c>
      <c r="B21" s="6" t="s">
        <v>164</v>
      </c>
      <c r="C21" s="7">
        <v>1094</v>
      </c>
      <c r="D21" s="8" t="s">
        <v>165</v>
      </c>
      <c r="E21" s="8" t="s">
        <v>166</v>
      </c>
      <c r="F21" s="8" t="s">
        <v>167</v>
      </c>
      <c r="G21" s="6" t="s">
        <v>90</v>
      </c>
      <c r="H21" s="6" t="s">
        <v>54</v>
      </c>
      <c r="I21" s="8" t="s">
        <v>40</v>
      </c>
      <c r="J21" s="9">
        <v>1</v>
      </c>
      <c r="K21" s="9">
        <v>208</v>
      </c>
      <c r="L21" s="9">
        <v>2026</v>
      </c>
      <c r="M21" s="8" t="s">
        <v>168</v>
      </c>
      <c r="N21" s="8" t="s">
        <v>42</v>
      </c>
      <c r="O21" s="8" t="s">
        <v>169</v>
      </c>
      <c r="P21" s="6" t="s">
        <v>44</v>
      </c>
      <c r="Q21" s="8" t="s">
        <v>45</v>
      </c>
      <c r="R21" s="10" t="s">
        <v>170</v>
      </c>
      <c r="S21" s="11" t="s">
        <v>171</v>
      </c>
      <c r="T21" s="6"/>
      <c r="U21" s="24" t="str">
        <f>HYPERLINK("https://media.infra-m.ru/2213/2213282/cover/2213282.jpg", "Обложка")</f>
        <v>Обложка</v>
      </c>
      <c r="V21" s="24" t="str">
        <f>HYPERLINK("https://znanium.ru/catalog/product/2198820", "Ознакомиться")</f>
        <v>Ознакомиться</v>
      </c>
      <c r="W21" s="8" t="s">
        <v>172</v>
      </c>
      <c r="X21" s="6"/>
      <c r="Y21" s="6"/>
      <c r="Z21" s="6" t="s">
        <v>48</v>
      </c>
      <c r="AA21" s="6" t="s">
        <v>129</v>
      </c>
      <c r="AB21" s="8"/>
    </row>
    <row r="22" spans="1:28" s="4" customFormat="1" ht="51.95" customHeight="1">
      <c r="A22" s="5">
        <v>0</v>
      </c>
      <c r="B22" s="6" t="s">
        <v>173</v>
      </c>
      <c r="C22" s="7">
        <v>1324</v>
      </c>
      <c r="D22" s="8" t="s">
        <v>174</v>
      </c>
      <c r="E22" s="8" t="s">
        <v>175</v>
      </c>
      <c r="F22" s="8" t="s">
        <v>176</v>
      </c>
      <c r="G22" s="6" t="s">
        <v>90</v>
      </c>
      <c r="H22" s="6" t="s">
        <v>54</v>
      </c>
      <c r="I22" s="8" t="s">
        <v>40</v>
      </c>
      <c r="J22" s="9">
        <v>1</v>
      </c>
      <c r="K22" s="9">
        <v>264</v>
      </c>
      <c r="L22" s="9">
        <v>2025</v>
      </c>
      <c r="M22" s="8" t="s">
        <v>177</v>
      </c>
      <c r="N22" s="8" t="s">
        <v>42</v>
      </c>
      <c r="O22" s="8" t="s">
        <v>169</v>
      </c>
      <c r="P22" s="6" t="s">
        <v>44</v>
      </c>
      <c r="Q22" s="8" t="s">
        <v>45</v>
      </c>
      <c r="R22" s="10" t="s">
        <v>178</v>
      </c>
      <c r="S22" s="11" t="s">
        <v>179</v>
      </c>
      <c r="T22" s="6"/>
      <c r="U22" s="24" t="str">
        <f>HYPERLINK("https://media.infra-m.ru/2187/2187670/cover/2187670.jpg", "Обложка")</f>
        <v>Обложка</v>
      </c>
      <c r="V22" s="24" t="str">
        <f>HYPERLINK("https://znanium.ru/catalog/product/1912943", "Ознакомиться")</f>
        <v>Ознакомиться</v>
      </c>
      <c r="W22" s="8" t="s">
        <v>180</v>
      </c>
      <c r="X22" s="6"/>
      <c r="Y22" s="6" t="s">
        <v>30</v>
      </c>
      <c r="Z22" s="6"/>
      <c r="AA22" s="6" t="s">
        <v>181</v>
      </c>
      <c r="AB22" s="8"/>
    </row>
    <row r="23" spans="1:28" s="4" customFormat="1" ht="51.95" customHeight="1">
      <c r="A23" s="5">
        <v>0</v>
      </c>
      <c r="B23" s="6" t="s">
        <v>182</v>
      </c>
      <c r="C23" s="7">
        <v>1060</v>
      </c>
      <c r="D23" s="8" t="s">
        <v>183</v>
      </c>
      <c r="E23" s="8" t="s">
        <v>184</v>
      </c>
      <c r="F23" s="8" t="s">
        <v>185</v>
      </c>
      <c r="G23" s="6" t="s">
        <v>90</v>
      </c>
      <c r="H23" s="6" t="s">
        <v>54</v>
      </c>
      <c r="I23" s="8" t="s">
        <v>40</v>
      </c>
      <c r="J23" s="9">
        <v>1</v>
      </c>
      <c r="K23" s="9">
        <v>192</v>
      </c>
      <c r="L23" s="9">
        <v>2026</v>
      </c>
      <c r="M23" s="8" t="s">
        <v>186</v>
      </c>
      <c r="N23" s="8" t="s">
        <v>42</v>
      </c>
      <c r="O23" s="8" t="s">
        <v>187</v>
      </c>
      <c r="P23" s="6" t="s">
        <v>58</v>
      </c>
      <c r="Q23" s="8" t="s">
        <v>45</v>
      </c>
      <c r="R23" s="10" t="s">
        <v>188</v>
      </c>
      <c r="S23" s="11" t="s">
        <v>189</v>
      </c>
      <c r="T23" s="6" t="s">
        <v>118</v>
      </c>
      <c r="U23" s="24" t="str">
        <f>HYPERLINK("https://media.infra-m.ru/2225/2225676/cover/2225676.jpg", "Обложка")</f>
        <v>Обложка</v>
      </c>
      <c r="V23" s="24" t="str">
        <f>HYPERLINK("https://znanium.ru/catalog/product/2225676", "Ознакомиться")</f>
        <v>Ознакомиться</v>
      </c>
      <c r="W23" s="8" t="s">
        <v>190</v>
      </c>
      <c r="X23" s="6"/>
      <c r="Y23" s="6"/>
      <c r="Z23" s="6"/>
      <c r="AA23" s="6" t="s">
        <v>191</v>
      </c>
      <c r="AB23" s="8"/>
    </row>
    <row r="24" spans="1:28" s="4" customFormat="1" ht="51.95" customHeight="1">
      <c r="A24" s="5">
        <v>0</v>
      </c>
      <c r="B24" s="6" t="s">
        <v>192</v>
      </c>
      <c r="C24" s="7">
        <v>1124</v>
      </c>
      <c r="D24" s="8" t="s">
        <v>193</v>
      </c>
      <c r="E24" s="8" t="s">
        <v>194</v>
      </c>
      <c r="F24" s="8" t="s">
        <v>195</v>
      </c>
      <c r="G24" s="6" t="s">
        <v>90</v>
      </c>
      <c r="H24" s="6" t="s">
        <v>39</v>
      </c>
      <c r="I24" s="8" t="s">
        <v>40</v>
      </c>
      <c r="J24" s="9">
        <v>1</v>
      </c>
      <c r="K24" s="9">
        <v>224</v>
      </c>
      <c r="L24" s="9">
        <v>2025</v>
      </c>
      <c r="M24" s="8" t="s">
        <v>196</v>
      </c>
      <c r="N24" s="8" t="s">
        <v>42</v>
      </c>
      <c r="O24" s="8" t="s">
        <v>169</v>
      </c>
      <c r="P24" s="6" t="s">
        <v>44</v>
      </c>
      <c r="Q24" s="8" t="s">
        <v>45</v>
      </c>
      <c r="R24" s="10" t="s">
        <v>197</v>
      </c>
      <c r="S24" s="11" t="s">
        <v>198</v>
      </c>
      <c r="T24" s="6"/>
      <c r="U24" s="24" t="str">
        <f>HYPERLINK("https://media.infra-m.ru/2187/2187789/cover/2187789.jpg", "Обложка")</f>
        <v>Обложка</v>
      </c>
      <c r="V24" s="24" t="str">
        <f>HYPERLINK("https://znanium.ru/catalog/product/2187786", "Ознакомиться")</f>
        <v>Ознакомиться</v>
      </c>
      <c r="W24" s="8" t="s">
        <v>199</v>
      </c>
      <c r="X24" s="6"/>
      <c r="Y24" s="6" t="s">
        <v>30</v>
      </c>
      <c r="Z24" s="6" t="s">
        <v>48</v>
      </c>
      <c r="AA24" s="6" t="s">
        <v>74</v>
      </c>
      <c r="AB24" s="8"/>
    </row>
    <row r="25" spans="1:28" s="4" customFormat="1" ht="51.95" customHeight="1">
      <c r="A25" s="5">
        <v>0</v>
      </c>
      <c r="B25" s="6" t="s">
        <v>200</v>
      </c>
      <c r="C25" s="13">
        <v>884</v>
      </c>
      <c r="D25" s="8" t="s">
        <v>201</v>
      </c>
      <c r="E25" s="8" t="s">
        <v>202</v>
      </c>
      <c r="F25" s="8" t="s">
        <v>203</v>
      </c>
      <c r="G25" s="6" t="s">
        <v>90</v>
      </c>
      <c r="H25" s="6" t="s">
        <v>39</v>
      </c>
      <c r="I25" s="8" t="s">
        <v>40</v>
      </c>
      <c r="J25" s="9">
        <v>1</v>
      </c>
      <c r="K25" s="9">
        <v>161</v>
      </c>
      <c r="L25" s="9">
        <v>2026</v>
      </c>
      <c r="M25" s="8" t="s">
        <v>204</v>
      </c>
      <c r="N25" s="8" t="s">
        <v>42</v>
      </c>
      <c r="O25" s="8" t="s">
        <v>169</v>
      </c>
      <c r="P25" s="6" t="s">
        <v>44</v>
      </c>
      <c r="Q25" s="8" t="s">
        <v>45</v>
      </c>
      <c r="R25" s="10" t="s">
        <v>205</v>
      </c>
      <c r="S25" s="11" t="s">
        <v>206</v>
      </c>
      <c r="T25" s="6"/>
      <c r="U25" s="24" t="str">
        <f>HYPERLINK("https://media.infra-m.ru/2224/2224429/cover/2224429.jpg", "Обложка")</f>
        <v>Обложка</v>
      </c>
      <c r="V25" s="24" t="str">
        <f>HYPERLINK("https://znanium.ru/catalog/product/2125245", "Ознакомиться")</f>
        <v>Ознакомиться</v>
      </c>
      <c r="W25" s="8" t="s">
        <v>172</v>
      </c>
      <c r="X25" s="6"/>
      <c r="Y25" s="6"/>
      <c r="Z25" s="6" t="s">
        <v>207</v>
      </c>
      <c r="AA25" s="6" t="s">
        <v>129</v>
      </c>
      <c r="AB25" s="8"/>
    </row>
    <row r="26" spans="1:28" s="4" customFormat="1" ht="51.95" customHeight="1">
      <c r="A26" s="5">
        <v>0</v>
      </c>
      <c r="B26" s="6" t="s">
        <v>208</v>
      </c>
      <c r="C26" s="7">
        <v>1844</v>
      </c>
      <c r="D26" s="8" t="s">
        <v>209</v>
      </c>
      <c r="E26" s="8" t="s">
        <v>210</v>
      </c>
      <c r="F26" s="8" t="s">
        <v>195</v>
      </c>
      <c r="G26" s="6" t="s">
        <v>90</v>
      </c>
      <c r="H26" s="6" t="s">
        <v>39</v>
      </c>
      <c r="I26" s="8" t="s">
        <v>40</v>
      </c>
      <c r="J26" s="9">
        <v>1</v>
      </c>
      <c r="K26" s="9">
        <v>336</v>
      </c>
      <c r="L26" s="9">
        <v>2026</v>
      </c>
      <c r="M26" s="8" t="s">
        <v>211</v>
      </c>
      <c r="N26" s="8" t="s">
        <v>42</v>
      </c>
      <c r="O26" s="8" t="s">
        <v>169</v>
      </c>
      <c r="P26" s="6" t="s">
        <v>58</v>
      </c>
      <c r="Q26" s="8" t="s">
        <v>45</v>
      </c>
      <c r="R26" s="10" t="s">
        <v>212</v>
      </c>
      <c r="S26" s="11" t="s">
        <v>213</v>
      </c>
      <c r="T26" s="6"/>
      <c r="U26" s="24" t="str">
        <f>HYPERLINK("https://media.infra-m.ru/2226/2226487/cover/2226487.jpg", "Обложка")</f>
        <v>Обложка</v>
      </c>
      <c r="V26" s="24" t="str">
        <f>HYPERLINK("https://znanium.ru/catalog/product/2094335", "Ознакомиться")</f>
        <v>Ознакомиться</v>
      </c>
      <c r="W26" s="8" t="s">
        <v>199</v>
      </c>
      <c r="X26" s="6"/>
      <c r="Y26" s="6"/>
      <c r="Z26" s="6" t="s">
        <v>48</v>
      </c>
      <c r="AA26" s="6" t="s">
        <v>129</v>
      </c>
      <c r="AB26" s="8"/>
    </row>
    <row r="27" spans="1:28" s="4" customFormat="1" ht="51.95" customHeight="1">
      <c r="A27" s="5">
        <v>0</v>
      </c>
      <c r="B27" s="6" t="s">
        <v>214</v>
      </c>
      <c r="C27" s="7">
        <v>1850</v>
      </c>
      <c r="D27" s="8" t="s">
        <v>215</v>
      </c>
      <c r="E27" s="8" t="s">
        <v>216</v>
      </c>
      <c r="F27" s="8" t="s">
        <v>217</v>
      </c>
      <c r="G27" s="6" t="s">
        <v>90</v>
      </c>
      <c r="H27" s="6" t="s">
        <v>54</v>
      </c>
      <c r="I27" s="8" t="s">
        <v>40</v>
      </c>
      <c r="J27" s="9">
        <v>1</v>
      </c>
      <c r="K27" s="9">
        <v>329</v>
      </c>
      <c r="L27" s="9">
        <v>2026</v>
      </c>
      <c r="M27" s="8" t="s">
        <v>218</v>
      </c>
      <c r="N27" s="8" t="s">
        <v>42</v>
      </c>
      <c r="O27" s="8" t="s">
        <v>219</v>
      </c>
      <c r="P27" s="6" t="s">
        <v>44</v>
      </c>
      <c r="Q27" s="8" t="s">
        <v>45</v>
      </c>
      <c r="R27" s="10" t="s">
        <v>220</v>
      </c>
      <c r="S27" s="11" t="s">
        <v>221</v>
      </c>
      <c r="T27" s="6"/>
      <c r="U27" s="24" t="str">
        <f>HYPERLINK("https://media.infra-m.ru/2224/2224440/cover/2224440.jpg", "Обложка")</f>
        <v>Обложка</v>
      </c>
      <c r="V27" s="24" t="str">
        <f>HYPERLINK("https://znanium.ru/catalog/product/2224440", "Ознакомиться")</f>
        <v>Ознакомиться</v>
      </c>
      <c r="W27" s="8" t="s">
        <v>222</v>
      </c>
      <c r="X27" s="6"/>
      <c r="Y27" s="6" t="s">
        <v>30</v>
      </c>
      <c r="Z27" s="6"/>
      <c r="AA27" s="6" t="s">
        <v>223</v>
      </c>
      <c r="AB27" s="8"/>
    </row>
    <row r="28" spans="1:28" s="4" customFormat="1" ht="51.95" customHeight="1">
      <c r="A28" s="5">
        <v>0</v>
      </c>
      <c r="B28" s="6" t="s">
        <v>224</v>
      </c>
      <c r="C28" s="7">
        <v>1290</v>
      </c>
      <c r="D28" s="8" t="s">
        <v>225</v>
      </c>
      <c r="E28" s="8" t="s">
        <v>226</v>
      </c>
      <c r="F28" s="8" t="s">
        <v>227</v>
      </c>
      <c r="G28" s="6" t="s">
        <v>90</v>
      </c>
      <c r="H28" s="6" t="s">
        <v>54</v>
      </c>
      <c r="I28" s="8" t="s">
        <v>40</v>
      </c>
      <c r="J28" s="9">
        <v>1</v>
      </c>
      <c r="K28" s="9">
        <v>232</v>
      </c>
      <c r="L28" s="9">
        <v>2026</v>
      </c>
      <c r="M28" s="8" t="s">
        <v>228</v>
      </c>
      <c r="N28" s="8" t="s">
        <v>42</v>
      </c>
      <c r="O28" s="8" t="s">
        <v>187</v>
      </c>
      <c r="P28" s="6" t="s">
        <v>58</v>
      </c>
      <c r="Q28" s="8" t="s">
        <v>45</v>
      </c>
      <c r="R28" s="10" t="s">
        <v>229</v>
      </c>
      <c r="S28" s="11" t="s">
        <v>230</v>
      </c>
      <c r="T28" s="6"/>
      <c r="U28" s="24" t="str">
        <f>HYPERLINK("https://media.infra-m.ru/2218/2218773/cover/2218773.jpg", "Обложка")</f>
        <v>Обложка</v>
      </c>
      <c r="V28" s="24" t="str">
        <f>HYPERLINK("https://znanium.ru/catalog/product/2218773", "Ознакомиться")</f>
        <v>Ознакомиться</v>
      </c>
      <c r="W28" s="8" t="s">
        <v>190</v>
      </c>
      <c r="X28" s="6"/>
      <c r="Y28" s="6" t="s">
        <v>30</v>
      </c>
      <c r="Z28" s="6"/>
      <c r="AA28" s="6" t="s">
        <v>231</v>
      </c>
      <c r="AB28" s="8" t="s">
        <v>232</v>
      </c>
    </row>
    <row r="29" spans="1:28" s="4" customFormat="1" ht="51.95" customHeight="1">
      <c r="A29" s="5">
        <v>0</v>
      </c>
      <c r="B29" s="6" t="s">
        <v>233</v>
      </c>
      <c r="C29" s="7">
        <v>1170</v>
      </c>
      <c r="D29" s="8" t="s">
        <v>234</v>
      </c>
      <c r="E29" s="8" t="s">
        <v>235</v>
      </c>
      <c r="F29" s="8" t="s">
        <v>227</v>
      </c>
      <c r="G29" s="6" t="s">
        <v>90</v>
      </c>
      <c r="H29" s="6" t="s">
        <v>54</v>
      </c>
      <c r="I29" s="8" t="s">
        <v>40</v>
      </c>
      <c r="J29" s="9">
        <v>1</v>
      </c>
      <c r="K29" s="9">
        <v>238</v>
      </c>
      <c r="L29" s="9">
        <v>2023</v>
      </c>
      <c r="M29" s="8" t="s">
        <v>236</v>
      </c>
      <c r="N29" s="8" t="s">
        <v>42</v>
      </c>
      <c r="O29" s="8" t="s">
        <v>187</v>
      </c>
      <c r="P29" s="6" t="s">
        <v>58</v>
      </c>
      <c r="Q29" s="8" t="s">
        <v>45</v>
      </c>
      <c r="R29" s="10" t="s">
        <v>229</v>
      </c>
      <c r="S29" s="11" t="s">
        <v>230</v>
      </c>
      <c r="T29" s="6"/>
      <c r="U29" s="24" t="str">
        <f>HYPERLINK("https://media.infra-m.ru/1895/1895682/cover/1895682.jpg", "Обложка")</f>
        <v>Обложка</v>
      </c>
      <c r="V29" s="24" t="str">
        <f>HYPERLINK("https://znanium.ru/catalog/product/2218773", "Ознакомиться")</f>
        <v>Ознакомиться</v>
      </c>
      <c r="W29" s="8" t="s">
        <v>190</v>
      </c>
      <c r="X29" s="6"/>
      <c r="Y29" s="6" t="s">
        <v>30</v>
      </c>
      <c r="Z29" s="6"/>
      <c r="AA29" s="6" t="s">
        <v>237</v>
      </c>
      <c r="AB29" s="8" t="s">
        <v>232</v>
      </c>
    </row>
    <row r="30" spans="1:28" s="4" customFormat="1" ht="51.95" customHeight="1">
      <c r="A30" s="5">
        <v>0</v>
      </c>
      <c r="B30" s="6" t="s">
        <v>238</v>
      </c>
      <c r="C30" s="7">
        <v>1854</v>
      </c>
      <c r="D30" s="8" t="s">
        <v>239</v>
      </c>
      <c r="E30" s="8" t="s">
        <v>240</v>
      </c>
      <c r="F30" s="8" t="s">
        <v>241</v>
      </c>
      <c r="G30" s="6" t="s">
        <v>90</v>
      </c>
      <c r="H30" s="6" t="s">
        <v>39</v>
      </c>
      <c r="I30" s="8" t="s">
        <v>40</v>
      </c>
      <c r="J30" s="9">
        <v>1</v>
      </c>
      <c r="K30" s="9">
        <v>352</v>
      </c>
      <c r="L30" s="9">
        <v>2026</v>
      </c>
      <c r="M30" s="8" t="s">
        <v>242</v>
      </c>
      <c r="N30" s="8" t="s">
        <v>42</v>
      </c>
      <c r="O30" s="8" t="s">
        <v>243</v>
      </c>
      <c r="P30" s="6" t="s">
        <v>58</v>
      </c>
      <c r="Q30" s="8" t="s">
        <v>45</v>
      </c>
      <c r="R30" s="10" t="s">
        <v>244</v>
      </c>
      <c r="S30" s="11" t="s">
        <v>245</v>
      </c>
      <c r="T30" s="6"/>
      <c r="U30" s="24" t="str">
        <f>HYPERLINK("https://media.infra-m.ru/2213/2213552/cover/2213552.jpg", "Обложка")</f>
        <v>Обложка</v>
      </c>
      <c r="V30" s="24" t="str">
        <f>HYPERLINK("https://znanium.ru/catalog/product/2204343", "Ознакомиться")</f>
        <v>Ознакомиться</v>
      </c>
      <c r="W30" s="8" t="s">
        <v>199</v>
      </c>
      <c r="X30" s="6"/>
      <c r="Y30" s="6"/>
      <c r="Z30" s="6" t="s">
        <v>48</v>
      </c>
      <c r="AA30" s="6" t="s">
        <v>129</v>
      </c>
      <c r="AB30" s="8"/>
    </row>
    <row r="31" spans="1:28" s="4" customFormat="1" ht="51.95" customHeight="1">
      <c r="A31" s="5">
        <v>0</v>
      </c>
      <c r="B31" s="6" t="s">
        <v>246</v>
      </c>
      <c r="C31" s="7">
        <v>1210</v>
      </c>
      <c r="D31" s="8" t="s">
        <v>247</v>
      </c>
      <c r="E31" s="8" t="s">
        <v>248</v>
      </c>
      <c r="F31" s="8" t="s">
        <v>249</v>
      </c>
      <c r="G31" s="6" t="s">
        <v>90</v>
      </c>
      <c r="H31" s="6" t="s">
        <v>54</v>
      </c>
      <c r="I31" s="8" t="s">
        <v>40</v>
      </c>
      <c r="J31" s="9">
        <v>1</v>
      </c>
      <c r="K31" s="9">
        <v>219</v>
      </c>
      <c r="L31" s="9">
        <v>2026</v>
      </c>
      <c r="M31" s="8" t="s">
        <v>250</v>
      </c>
      <c r="N31" s="8" t="s">
        <v>42</v>
      </c>
      <c r="O31" s="8" t="s">
        <v>187</v>
      </c>
      <c r="P31" s="6" t="s">
        <v>58</v>
      </c>
      <c r="Q31" s="8" t="s">
        <v>45</v>
      </c>
      <c r="R31" s="10" t="s">
        <v>251</v>
      </c>
      <c r="S31" s="11" t="s">
        <v>252</v>
      </c>
      <c r="T31" s="6"/>
      <c r="U31" s="24" t="str">
        <f>HYPERLINK("https://media.infra-m.ru/2225/2225678/cover/2225678.jpg", "Обложка")</f>
        <v>Обложка</v>
      </c>
      <c r="V31" s="24" t="str">
        <f>HYPERLINK("https://znanium.ru/catalog/product/2225678", "Ознакомиться")</f>
        <v>Ознакомиться</v>
      </c>
      <c r="W31" s="8" t="s">
        <v>190</v>
      </c>
      <c r="X31" s="6"/>
      <c r="Y31" s="6"/>
      <c r="Z31" s="6"/>
      <c r="AA31" s="6" t="s">
        <v>253</v>
      </c>
      <c r="AB31" s="8"/>
    </row>
    <row r="32" spans="1:28" s="4" customFormat="1" ht="42" customHeight="1">
      <c r="A32" s="5">
        <v>0</v>
      </c>
      <c r="B32" s="6" t="s">
        <v>254</v>
      </c>
      <c r="C32" s="7">
        <v>1234</v>
      </c>
      <c r="D32" s="8" t="s">
        <v>255</v>
      </c>
      <c r="E32" s="8" t="s">
        <v>256</v>
      </c>
      <c r="F32" s="8" t="s">
        <v>257</v>
      </c>
      <c r="G32" s="6" t="s">
        <v>38</v>
      </c>
      <c r="H32" s="6" t="s">
        <v>39</v>
      </c>
      <c r="I32" s="8" t="s">
        <v>69</v>
      </c>
      <c r="J32" s="9">
        <v>1</v>
      </c>
      <c r="K32" s="9">
        <v>224</v>
      </c>
      <c r="L32" s="9">
        <v>2026</v>
      </c>
      <c r="M32" s="8" t="s">
        <v>258</v>
      </c>
      <c r="N32" s="8" t="s">
        <v>42</v>
      </c>
      <c r="O32" s="8" t="s">
        <v>219</v>
      </c>
      <c r="P32" s="6" t="s">
        <v>44</v>
      </c>
      <c r="Q32" s="8" t="s">
        <v>45</v>
      </c>
      <c r="R32" s="10" t="s">
        <v>259</v>
      </c>
      <c r="S32" s="11"/>
      <c r="T32" s="6"/>
      <c r="U32" s="24" t="str">
        <f>HYPERLINK("https://media.infra-m.ru/2223/2223211/cover/2223211.jpg", "Обложка")</f>
        <v>Обложка</v>
      </c>
      <c r="V32" s="24" t="str">
        <f>HYPERLINK("https://znanium.ru/catalog/product/1160864", "Ознакомиться")</f>
        <v>Ознакомиться</v>
      </c>
      <c r="W32" s="8" t="s">
        <v>260</v>
      </c>
      <c r="X32" s="6"/>
      <c r="Y32" s="6"/>
      <c r="Z32" s="6"/>
      <c r="AA32" s="6" t="s">
        <v>261</v>
      </c>
      <c r="AB32" s="8"/>
    </row>
    <row r="33" spans="1:28" s="4" customFormat="1" ht="51.95" customHeight="1">
      <c r="A33" s="5">
        <v>0</v>
      </c>
      <c r="B33" s="6" t="s">
        <v>262</v>
      </c>
      <c r="C33" s="7">
        <v>1164</v>
      </c>
      <c r="D33" s="8" t="s">
        <v>263</v>
      </c>
      <c r="E33" s="8" t="s">
        <v>264</v>
      </c>
      <c r="F33" s="8" t="s">
        <v>265</v>
      </c>
      <c r="G33" s="6" t="s">
        <v>90</v>
      </c>
      <c r="H33" s="6" t="s">
        <v>54</v>
      </c>
      <c r="I33" s="8" t="s">
        <v>40</v>
      </c>
      <c r="J33" s="9">
        <v>1</v>
      </c>
      <c r="K33" s="9">
        <v>224</v>
      </c>
      <c r="L33" s="9">
        <v>2025</v>
      </c>
      <c r="M33" s="8" t="s">
        <v>266</v>
      </c>
      <c r="N33" s="8" t="s">
        <v>42</v>
      </c>
      <c r="O33" s="8" t="s">
        <v>219</v>
      </c>
      <c r="P33" s="6" t="s">
        <v>58</v>
      </c>
      <c r="Q33" s="8" t="s">
        <v>45</v>
      </c>
      <c r="R33" s="10" t="s">
        <v>267</v>
      </c>
      <c r="S33" s="11" t="s">
        <v>268</v>
      </c>
      <c r="T33" s="6"/>
      <c r="U33" s="24" t="str">
        <f>HYPERLINK("https://media.infra-m.ru/2196/2196856/cover/2196856.jpg", "Обложка")</f>
        <v>Обложка</v>
      </c>
      <c r="V33" s="24" t="str">
        <f>HYPERLINK("https://znanium.ru/catalog/product/1914758", "Ознакомиться")</f>
        <v>Ознакомиться</v>
      </c>
      <c r="W33" s="8" t="s">
        <v>269</v>
      </c>
      <c r="X33" s="6"/>
      <c r="Y33" s="6"/>
      <c r="Z33" s="6"/>
      <c r="AA33" s="6" t="s">
        <v>270</v>
      </c>
      <c r="AB33" s="8"/>
    </row>
    <row r="34" spans="1:28" s="4" customFormat="1" ht="51.95" customHeight="1">
      <c r="A34" s="5">
        <v>0</v>
      </c>
      <c r="B34" s="6" t="s">
        <v>271</v>
      </c>
      <c r="C34" s="7">
        <v>1200</v>
      </c>
      <c r="D34" s="8" t="s">
        <v>272</v>
      </c>
      <c r="E34" s="8" t="s">
        <v>264</v>
      </c>
      <c r="F34" s="8" t="s">
        <v>273</v>
      </c>
      <c r="G34" s="6" t="s">
        <v>90</v>
      </c>
      <c r="H34" s="6" t="s">
        <v>39</v>
      </c>
      <c r="I34" s="8" t="s">
        <v>40</v>
      </c>
      <c r="J34" s="9">
        <v>1</v>
      </c>
      <c r="K34" s="9">
        <v>240</v>
      </c>
      <c r="L34" s="9">
        <v>2025</v>
      </c>
      <c r="M34" s="8" t="s">
        <v>274</v>
      </c>
      <c r="N34" s="8" t="s">
        <v>42</v>
      </c>
      <c r="O34" s="8" t="s">
        <v>219</v>
      </c>
      <c r="P34" s="6" t="s">
        <v>44</v>
      </c>
      <c r="Q34" s="8" t="s">
        <v>45</v>
      </c>
      <c r="R34" s="10" t="s">
        <v>275</v>
      </c>
      <c r="S34" s="11" t="s">
        <v>276</v>
      </c>
      <c r="T34" s="6"/>
      <c r="U34" s="24" t="str">
        <f>HYPERLINK("https://media.infra-m.ru/2184/2184585/cover/2184585.jpg", "Обложка")</f>
        <v>Обложка</v>
      </c>
      <c r="V34" s="24" t="str">
        <f>HYPERLINK("https://znanium.ru/catalog/product/2184585", "Ознакомиться")</f>
        <v>Ознакомиться</v>
      </c>
      <c r="W34" s="8" t="s">
        <v>277</v>
      </c>
      <c r="X34" s="6"/>
      <c r="Y34" s="6"/>
      <c r="Z34" s="6"/>
      <c r="AA34" s="6" t="s">
        <v>278</v>
      </c>
      <c r="AB34" s="8"/>
    </row>
    <row r="35" spans="1:28" s="4" customFormat="1" ht="51.95" customHeight="1">
      <c r="A35" s="5">
        <v>0</v>
      </c>
      <c r="B35" s="6" t="s">
        <v>279</v>
      </c>
      <c r="C35" s="7">
        <v>1500</v>
      </c>
      <c r="D35" s="8" t="s">
        <v>280</v>
      </c>
      <c r="E35" s="8" t="s">
        <v>281</v>
      </c>
      <c r="F35" s="8" t="s">
        <v>282</v>
      </c>
      <c r="G35" s="6" t="s">
        <v>90</v>
      </c>
      <c r="H35" s="6" t="s">
        <v>54</v>
      </c>
      <c r="I35" s="8" t="s">
        <v>40</v>
      </c>
      <c r="J35" s="9">
        <v>1</v>
      </c>
      <c r="K35" s="9">
        <v>320</v>
      </c>
      <c r="L35" s="9">
        <v>2024</v>
      </c>
      <c r="M35" s="8" t="s">
        <v>283</v>
      </c>
      <c r="N35" s="8" t="s">
        <v>42</v>
      </c>
      <c r="O35" s="8" t="s">
        <v>243</v>
      </c>
      <c r="P35" s="6" t="s">
        <v>44</v>
      </c>
      <c r="Q35" s="8" t="s">
        <v>45</v>
      </c>
      <c r="R35" s="10" t="s">
        <v>284</v>
      </c>
      <c r="S35" s="11" t="s">
        <v>285</v>
      </c>
      <c r="T35" s="6"/>
      <c r="U35" s="24" t="str">
        <f>HYPERLINK("https://media.infra-m.ru/2138/2138503/cover/2138503.jpg", "Обложка")</f>
        <v>Обложка</v>
      </c>
      <c r="V35" s="24" t="str">
        <f>HYPERLINK("https://znanium.ru/catalog/product/2138503", "Ознакомиться")</f>
        <v>Ознакомиться</v>
      </c>
      <c r="W35" s="8" t="s">
        <v>73</v>
      </c>
      <c r="X35" s="6"/>
      <c r="Y35" s="6"/>
      <c r="Z35" s="6"/>
      <c r="AA35" s="6" t="s">
        <v>261</v>
      </c>
      <c r="AB35" s="8"/>
    </row>
    <row r="36" spans="1:28" s="4" customFormat="1" ht="51.95" customHeight="1">
      <c r="A36" s="5">
        <v>0</v>
      </c>
      <c r="B36" s="6" t="s">
        <v>286</v>
      </c>
      <c r="C36" s="7">
        <v>3404</v>
      </c>
      <c r="D36" s="8" t="s">
        <v>287</v>
      </c>
      <c r="E36" s="8" t="s">
        <v>288</v>
      </c>
      <c r="F36" s="8" t="s">
        <v>289</v>
      </c>
      <c r="G36" s="6" t="s">
        <v>38</v>
      </c>
      <c r="H36" s="6" t="s">
        <v>54</v>
      </c>
      <c r="I36" s="8" t="s">
        <v>40</v>
      </c>
      <c r="J36" s="9">
        <v>1</v>
      </c>
      <c r="K36" s="9">
        <v>655</v>
      </c>
      <c r="L36" s="9">
        <v>2026</v>
      </c>
      <c r="M36" s="8" t="s">
        <v>290</v>
      </c>
      <c r="N36" s="8" t="s">
        <v>42</v>
      </c>
      <c r="O36" s="8" t="s">
        <v>243</v>
      </c>
      <c r="P36" s="6" t="s">
        <v>58</v>
      </c>
      <c r="Q36" s="8" t="s">
        <v>45</v>
      </c>
      <c r="R36" s="10" t="s">
        <v>291</v>
      </c>
      <c r="S36" s="11" t="s">
        <v>292</v>
      </c>
      <c r="T36" s="6"/>
      <c r="U36" s="24" t="str">
        <f>HYPERLINK("https://media.infra-m.ru/2214/2214256/cover/2214256.jpg", "Обложка")</f>
        <v>Обложка</v>
      </c>
      <c r="V36" s="24" t="str">
        <f>HYPERLINK("https://znanium.ru/catalog/product/1915603", "Ознакомиться")</f>
        <v>Ознакомиться</v>
      </c>
      <c r="W36" s="8" t="s">
        <v>293</v>
      </c>
      <c r="X36" s="6"/>
      <c r="Y36" s="6"/>
      <c r="Z36" s="6" t="s">
        <v>48</v>
      </c>
      <c r="AA36" s="6" t="s">
        <v>294</v>
      </c>
      <c r="AB36" s="8"/>
    </row>
    <row r="37" spans="1:28" s="4" customFormat="1" ht="51.95" customHeight="1">
      <c r="A37" s="5">
        <v>0</v>
      </c>
      <c r="B37" s="6" t="s">
        <v>295</v>
      </c>
      <c r="C37" s="7">
        <v>1114</v>
      </c>
      <c r="D37" s="8" t="s">
        <v>296</v>
      </c>
      <c r="E37" s="8" t="s">
        <v>297</v>
      </c>
      <c r="F37" s="8" t="s">
        <v>298</v>
      </c>
      <c r="G37" s="6" t="s">
        <v>90</v>
      </c>
      <c r="H37" s="6" t="s">
        <v>299</v>
      </c>
      <c r="I37" s="8" t="s">
        <v>69</v>
      </c>
      <c r="J37" s="9">
        <v>1</v>
      </c>
      <c r="K37" s="9">
        <v>223</v>
      </c>
      <c r="L37" s="9">
        <v>2025</v>
      </c>
      <c r="M37" s="8" t="s">
        <v>300</v>
      </c>
      <c r="N37" s="8" t="s">
        <v>42</v>
      </c>
      <c r="O37" s="8" t="s">
        <v>243</v>
      </c>
      <c r="P37" s="6" t="s">
        <v>44</v>
      </c>
      <c r="Q37" s="8" t="s">
        <v>45</v>
      </c>
      <c r="R37" s="10" t="s">
        <v>301</v>
      </c>
      <c r="S37" s="11" t="s">
        <v>302</v>
      </c>
      <c r="T37" s="6"/>
      <c r="U37" s="24" t="str">
        <f>HYPERLINK("https://media.infra-m.ru/2188/2188206/cover/2188206.jpg", "Обложка")</f>
        <v>Обложка</v>
      </c>
      <c r="V37" s="24" t="str">
        <f>HYPERLINK("https://znanium.ru/catalog/product/1937950", "Ознакомиться")</f>
        <v>Ознакомиться</v>
      </c>
      <c r="W37" s="8" t="s">
        <v>303</v>
      </c>
      <c r="X37" s="6"/>
      <c r="Y37" s="6" t="s">
        <v>30</v>
      </c>
      <c r="Z37" s="6"/>
      <c r="AA37" s="6" t="s">
        <v>304</v>
      </c>
      <c r="AB37" s="8"/>
    </row>
    <row r="38" spans="1:28" s="4" customFormat="1" ht="51.95" customHeight="1">
      <c r="A38" s="5">
        <v>0</v>
      </c>
      <c r="B38" s="6" t="s">
        <v>305</v>
      </c>
      <c r="C38" s="7">
        <v>1610</v>
      </c>
      <c r="D38" s="8" t="s">
        <v>306</v>
      </c>
      <c r="E38" s="8" t="s">
        <v>307</v>
      </c>
      <c r="F38" s="8" t="s">
        <v>308</v>
      </c>
      <c r="G38" s="6" t="s">
        <v>90</v>
      </c>
      <c r="H38" s="6" t="s">
        <v>54</v>
      </c>
      <c r="I38" s="8" t="s">
        <v>40</v>
      </c>
      <c r="J38" s="9">
        <v>1</v>
      </c>
      <c r="K38" s="9">
        <v>304</v>
      </c>
      <c r="L38" s="9">
        <v>2026</v>
      </c>
      <c r="M38" s="8" t="s">
        <v>309</v>
      </c>
      <c r="N38" s="8" t="s">
        <v>42</v>
      </c>
      <c r="O38" s="8" t="s">
        <v>243</v>
      </c>
      <c r="P38" s="6" t="s">
        <v>44</v>
      </c>
      <c r="Q38" s="8" t="s">
        <v>45</v>
      </c>
      <c r="R38" s="10" t="s">
        <v>310</v>
      </c>
      <c r="S38" s="11" t="s">
        <v>311</v>
      </c>
      <c r="T38" s="6"/>
      <c r="U38" s="24" t="str">
        <f>HYPERLINK("https://media.infra-m.ru/2223/2223699/cover/2223699.jpg", "Обложка")</f>
        <v>Обложка</v>
      </c>
      <c r="V38" s="24" t="str">
        <f>HYPERLINK("https://znanium.ru/catalog/product/2223699", "Ознакомиться")</f>
        <v>Ознакомиться</v>
      </c>
      <c r="W38" s="8" t="s">
        <v>312</v>
      </c>
      <c r="X38" s="6"/>
      <c r="Y38" s="6" t="s">
        <v>30</v>
      </c>
      <c r="Z38" s="6"/>
      <c r="AA38" s="6" t="s">
        <v>313</v>
      </c>
      <c r="AB38" s="8"/>
    </row>
    <row r="39" spans="1:28" s="4" customFormat="1" ht="51.95" customHeight="1">
      <c r="A39" s="5">
        <v>0</v>
      </c>
      <c r="B39" s="6" t="s">
        <v>314</v>
      </c>
      <c r="C39" s="7">
        <v>3184</v>
      </c>
      <c r="D39" s="8" t="s">
        <v>315</v>
      </c>
      <c r="E39" s="8" t="s">
        <v>316</v>
      </c>
      <c r="F39" s="8" t="s">
        <v>317</v>
      </c>
      <c r="G39" s="6" t="s">
        <v>90</v>
      </c>
      <c r="H39" s="6" t="s">
        <v>54</v>
      </c>
      <c r="I39" s="8" t="s">
        <v>40</v>
      </c>
      <c r="J39" s="9">
        <v>1</v>
      </c>
      <c r="K39" s="9">
        <v>725</v>
      </c>
      <c r="L39" s="9">
        <v>2026</v>
      </c>
      <c r="M39" s="8" t="s">
        <v>318</v>
      </c>
      <c r="N39" s="8" t="s">
        <v>42</v>
      </c>
      <c r="O39" s="8" t="s">
        <v>319</v>
      </c>
      <c r="P39" s="6" t="s">
        <v>44</v>
      </c>
      <c r="Q39" s="8" t="s">
        <v>45</v>
      </c>
      <c r="R39" s="10" t="s">
        <v>320</v>
      </c>
      <c r="S39" s="11" t="s">
        <v>321</v>
      </c>
      <c r="T39" s="6"/>
      <c r="U39" s="24" t="str">
        <f>HYPERLINK("https://media.infra-m.ru/2218/2218362/cover/2218362.jpg", "Обложка")</f>
        <v>Обложка</v>
      </c>
      <c r="V39" s="24" t="str">
        <f>HYPERLINK("https://znanium.ru/catalog/product/2122874", "Ознакомиться")</f>
        <v>Ознакомиться</v>
      </c>
      <c r="W39" s="8" t="s">
        <v>293</v>
      </c>
      <c r="X39" s="6"/>
      <c r="Y39" s="6"/>
      <c r="Z39" s="6" t="s">
        <v>48</v>
      </c>
      <c r="AA39" s="6" t="s">
        <v>111</v>
      </c>
      <c r="AB39" s="8"/>
    </row>
    <row r="40" spans="1:28" s="4" customFormat="1" ht="51.95" customHeight="1">
      <c r="A40" s="5">
        <v>0</v>
      </c>
      <c r="B40" s="6" t="s">
        <v>322</v>
      </c>
      <c r="C40" s="7">
        <v>1824</v>
      </c>
      <c r="D40" s="8" t="s">
        <v>323</v>
      </c>
      <c r="E40" s="8" t="s">
        <v>324</v>
      </c>
      <c r="F40" s="8" t="s">
        <v>325</v>
      </c>
      <c r="G40" s="6" t="s">
        <v>38</v>
      </c>
      <c r="H40" s="6" t="s">
        <v>54</v>
      </c>
      <c r="I40" s="8" t="s">
        <v>40</v>
      </c>
      <c r="J40" s="9">
        <v>1</v>
      </c>
      <c r="K40" s="9">
        <v>350</v>
      </c>
      <c r="L40" s="9">
        <v>2025</v>
      </c>
      <c r="M40" s="8" t="s">
        <v>326</v>
      </c>
      <c r="N40" s="8" t="s">
        <v>42</v>
      </c>
      <c r="O40" s="8" t="s">
        <v>319</v>
      </c>
      <c r="P40" s="6" t="s">
        <v>58</v>
      </c>
      <c r="Q40" s="8" t="s">
        <v>45</v>
      </c>
      <c r="R40" s="10" t="s">
        <v>327</v>
      </c>
      <c r="S40" s="11" t="s">
        <v>328</v>
      </c>
      <c r="T40" s="6"/>
      <c r="U40" s="24" t="str">
        <f>HYPERLINK("https://media.infra-m.ru/2191/2191629/cover/2191629.jpg", "Обложка")</f>
        <v>Обложка</v>
      </c>
      <c r="V40" s="24" t="str">
        <f>HYPERLINK("https://znanium.ru/catalog/product/2180055", "Ознакомиться")</f>
        <v>Ознакомиться</v>
      </c>
      <c r="W40" s="8" t="s">
        <v>329</v>
      </c>
      <c r="X40" s="6"/>
      <c r="Y40" s="6" t="s">
        <v>30</v>
      </c>
      <c r="Z40" s="6" t="s">
        <v>48</v>
      </c>
      <c r="AA40" s="6" t="s">
        <v>330</v>
      </c>
      <c r="AB40" s="8"/>
    </row>
    <row r="41" spans="1:28" s="4" customFormat="1" ht="51.95" customHeight="1">
      <c r="A41" s="5">
        <v>0</v>
      </c>
      <c r="B41" s="6" t="s">
        <v>331</v>
      </c>
      <c r="C41" s="7">
        <v>1860</v>
      </c>
      <c r="D41" s="8" t="s">
        <v>332</v>
      </c>
      <c r="E41" s="8" t="s">
        <v>333</v>
      </c>
      <c r="F41" s="8" t="s">
        <v>334</v>
      </c>
      <c r="G41" s="6" t="s">
        <v>90</v>
      </c>
      <c r="H41" s="6" t="s">
        <v>54</v>
      </c>
      <c r="I41" s="8" t="s">
        <v>40</v>
      </c>
      <c r="J41" s="9">
        <v>1</v>
      </c>
      <c r="K41" s="9">
        <v>351</v>
      </c>
      <c r="L41" s="9">
        <v>2026</v>
      </c>
      <c r="M41" s="8" t="s">
        <v>335</v>
      </c>
      <c r="N41" s="8" t="s">
        <v>42</v>
      </c>
      <c r="O41" s="8" t="s">
        <v>319</v>
      </c>
      <c r="P41" s="6" t="s">
        <v>44</v>
      </c>
      <c r="Q41" s="8" t="s">
        <v>45</v>
      </c>
      <c r="R41" s="10" t="s">
        <v>336</v>
      </c>
      <c r="S41" s="11" t="s">
        <v>337</v>
      </c>
      <c r="T41" s="6"/>
      <c r="U41" s="24" t="str">
        <f>HYPERLINK("https://media.infra-m.ru/2215/2215962/cover/2215962.jpg", "Обложка")</f>
        <v>Обложка</v>
      </c>
      <c r="V41" s="24" t="str">
        <f>HYPERLINK("https://znanium.ru/catalog/product/2215962", "Ознакомиться")</f>
        <v>Ознакомиться</v>
      </c>
      <c r="W41" s="8" t="s">
        <v>293</v>
      </c>
      <c r="X41" s="6"/>
      <c r="Y41" s="6"/>
      <c r="Z41" s="6" t="s">
        <v>48</v>
      </c>
      <c r="AA41" s="6" t="s">
        <v>111</v>
      </c>
      <c r="AB41" s="8"/>
    </row>
    <row r="42" spans="1:28" s="4" customFormat="1" ht="51.95" customHeight="1">
      <c r="A42" s="5">
        <v>0</v>
      </c>
      <c r="B42" s="6" t="s">
        <v>338</v>
      </c>
      <c r="C42" s="13">
        <v>970</v>
      </c>
      <c r="D42" s="8" t="s">
        <v>339</v>
      </c>
      <c r="E42" s="8" t="s">
        <v>340</v>
      </c>
      <c r="F42" s="8" t="s">
        <v>341</v>
      </c>
      <c r="G42" s="6" t="s">
        <v>90</v>
      </c>
      <c r="H42" s="6" t="s">
        <v>54</v>
      </c>
      <c r="I42" s="8" t="s">
        <v>40</v>
      </c>
      <c r="J42" s="9">
        <v>1</v>
      </c>
      <c r="K42" s="9">
        <v>209</v>
      </c>
      <c r="L42" s="9">
        <v>2024</v>
      </c>
      <c r="M42" s="8" t="s">
        <v>342</v>
      </c>
      <c r="N42" s="8" t="s">
        <v>56</v>
      </c>
      <c r="O42" s="8" t="s">
        <v>343</v>
      </c>
      <c r="P42" s="6" t="s">
        <v>44</v>
      </c>
      <c r="Q42" s="8" t="s">
        <v>45</v>
      </c>
      <c r="R42" s="10" t="s">
        <v>344</v>
      </c>
      <c r="S42" s="11" t="s">
        <v>345</v>
      </c>
      <c r="T42" s="6"/>
      <c r="U42" s="24" t="str">
        <f>HYPERLINK("https://media.infra-m.ru/2102/2102665/cover/2102665.jpg", "Обложка")</f>
        <v>Обложка</v>
      </c>
      <c r="V42" s="24" t="str">
        <f>HYPERLINK("https://znanium.ru/catalog/product/2102665", "Ознакомиться")</f>
        <v>Ознакомиться</v>
      </c>
      <c r="W42" s="8" t="s">
        <v>346</v>
      </c>
      <c r="X42" s="6"/>
      <c r="Y42" s="6"/>
      <c r="Z42" s="6" t="s">
        <v>48</v>
      </c>
      <c r="AA42" s="6" t="s">
        <v>129</v>
      </c>
      <c r="AB42" s="8"/>
    </row>
    <row r="43" spans="1:28" s="4" customFormat="1" ht="42" customHeight="1">
      <c r="A43" s="5">
        <v>0</v>
      </c>
      <c r="B43" s="6" t="s">
        <v>347</v>
      </c>
      <c r="C43" s="7">
        <v>1880</v>
      </c>
      <c r="D43" s="8" t="s">
        <v>348</v>
      </c>
      <c r="E43" s="8" t="s">
        <v>349</v>
      </c>
      <c r="F43" s="8" t="s">
        <v>350</v>
      </c>
      <c r="G43" s="6" t="s">
        <v>90</v>
      </c>
      <c r="H43" s="6" t="s">
        <v>54</v>
      </c>
      <c r="I43" s="8" t="s">
        <v>40</v>
      </c>
      <c r="J43" s="9">
        <v>1</v>
      </c>
      <c r="K43" s="9">
        <v>376</v>
      </c>
      <c r="L43" s="9">
        <v>2025</v>
      </c>
      <c r="M43" s="8" t="s">
        <v>351</v>
      </c>
      <c r="N43" s="8" t="s">
        <v>125</v>
      </c>
      <c r="O43" s="8" t="s">
        <v>352</v>
      </c>
      <c r="P43" s="6" t="s">
        <v>58</v>
      </c>
      <c r="Q43" s="8" t="s">
        <v>45</v>
      </c>
      <c r="R43" s="10" t="s">
        <v>108</v>
      </c>
      <c r="S43" s="11"/>
      <c r="T43" s="6"/>
      <c r="U43" s="24" t="str">
        <f>HYPERLINK("https://media.infra-m.ru/2187/2187437/cover/2187437.jpg", "Обложка")</f>
        <v>Обложка</v>
      </c>
      <c r="V43" s="24" t="str">
        <f>HYPERLINK("https://znanium.ru/catalog/product/2187437", "Ознакомиться")</f>
        <v>Ознакомиться</v>
      </c>
      <c r="W43" s="8" t="s">
        <v>353</v>
      </c>
      <c r="X43" s="6"/>
      <c r="Y43" s="6"/>
      <c r="Z43" s="6"/>
      <c r="AA43" s="6" t="s">
        <v>354</v>
      </c>
      <c r="AB43" s="8" t="s">
        <v>232</v>
      </c>
    </row>
    <row r="44" spans="1:28" s="4" customFormat="1" ht="42" customHeight="1">
      <c r="A44" s="5">
        <v>0</v>
      </c>
      <c r="B44" s="6" t="s">
        <v>355</v>
      </c>
      <c r="C44" s="7">
        <v>1760</v>
      </c>
      <c r="D44" s="8" t="s">
        <v>356</v>
      </c>
      <c r="E44" s="8" t="s">
        <v>357</v>
      </c>
      <c r="F44" s="8" t="s">
        <v>358</v>
      </c>
      <c r="G44" s="6" t="s">
        <v>90</v>
      </c>
      <c r="H44" s="6" t="s">
        <v>359</v>
      </c>
      <c r="I44" s="8" t="s">
        <v>40</v>
      </c>
      <c r="J44" s="9">
        <v>1</v>
      </c>
      <c r="K44" s="9">
        <v>352</v>
      </c>
      <c r="L44" s="9">
        <v>2025</v>
      </c>
      <c r="M44" s="8" t="s">
        <v>360</v>
      </c>
      <c r="N44" s="8" t="s">
        <v>125</v>
      </c>
      <c r="O44" s="8" t="s">
        <v>352</v>
      </c>
      <c r="P44" s="6" t="s">
        <v>44</v>
      </c>
      <c r="Q44" s="8" t="s">
        <v>45</v>
      </c>
      <c r="R44" s="10" t="s">
        <v>108</v>
      </c>
      <c r="S44" s="11"/>
      <c r="T44" s="6"/>
      <c r="U44" s="24" t="str">
        <f>HYPERLINK("https://media.infra-m.ru/2163/2163182/cover/2163182.jpg", "Обложка")</f>
        <v>Обложка</v>
      </c>
      <c r="V44" s="24" t="str">
        <f>HYPERLINK("https://znanium.ru/catalog/product/2174320", "Ознакомиться")</f>
        <v>Ознакомиться</v>
      </c>
      <c r="W44" s="8" t="s">
        <v>361</v>
      </c>
      <c r="X44" s="6"/>
      <c r="Y44" s="6" t="s">
        <v>30</v>
      </c>
      <c r="Z44" s="6" t="s">
        <v>48</v>
      </c>
      <c r="AA44" s="6" t="s">
        <v>362</v>
      </c>
      <c r="AB44" s="8"/>
    </row>
    <row r="45" spans="1:28" s="4" customFormat="1" ht="42" customHeight="1">
      <c r="A45" s="5">
        <v>0</v>
      </c>
      <c r="B45" s="6" t="s">
        <v>363</v>
      </c>
      <c r="C45" s="7">
        <v>1880</v>
      </c>
      <c r="D45" s="8" t="s">
        <v>364</v>
      </c>
      <c r="E45" s="8" t="s">
        <v>365</v>
      </c>
      <c r="F45" s="8" t="s">
        <v>358</v>
      </c>
      <c r="G45" s="6" t="s">
        <v>90</v>
      </c>
      <c r="H45" s="6" t="s">
        <v>359</v>
      </c>
      <c r="I45" s="8" t="s">
        <v>40</v>
      </c>
      <c r="J45" s="9">
        <v>1</v>
      </c>
      <c r="K45" s="9">
        <v>376</v>
      </c>
      <c r="L45" s="9">
        <v>2025</v>
      </c>
      <c r="M45" s="8" t="s">
        <v>366</v>
      </c>
      <c r="N45" s="8" t="s">
        <v>125</v>
      </c>
      <c r="O45" s="8" t="s">
        <v>352</v>
      </c>
      <c r="P45" s="6" t="s">
        <v>44</v>
      </c>
      <c r="Q45" s="8" t="s">
        <v>45</v>
      </c>
      <c r="R45" s="10" t="s">
        <v>108</v>
      </c>
      <c r="S45" s="11"/>
      <c r="T45" s="6"/>
      <c r="U45" s="24" t="str">
        <f>HYPERLINK("https://media.infra-m.ru/2174/2174320/cover/2174320.jpg", "Обложка")</f>
        <v>Обложка</v>
      </c>
      <c r="V45" s="24" t="str">
        <f>HYPERLINK("https://znanium.ru/catalog/product/2174320", "Ознакомиться")</f>
        <v>Ознакомиться</v>
      </c>
      <c r="W45" s="8" t="s">
        <v>361</v>
      </c>
      <c r="X45" s="6" t="s">
        <v>367</v>
      </c>
      <c r="Y45" s="6" t="s">
        <v>30</v>
      </c>
      <c r="Z45" s="6" t="s">
        <v>48</v>
      </c>
      <c r="AA45" s="6" t="s">
        <v>368</v>
      </c>
      <c r="AB45" s="8"/>
    </row>
    <row r="46" spans="1:28" s="4" customFormat="1" ht="44.1" customHeight="1">
      <c r="A46" s="5">
        <v>0</v>
      </c>
      <c r="B46" s="6" t="s">
        <v>369</v>
      </c>
      <c r="C46" s="7">
        <v>1270</v>
      </c>
      <c r="D46" s="8" t="s">
        <v>370</v>
      </c>
      <c r="E46" s="8" t="s">
        <v>371</v>
      </c>
      <c r="F46" s="8" t="s">
        <v>358</v>
      </c>
      <c r="G46" s="6" t="s">
        <v>90</v>
      </c>
      <c r="H46" s="6" t="s">
        <v>359</v>
      </c>
      <c r="I46" s="8" t="s">
        <v>40</v>
      </c>
      <c r="J46" s="9">
        <v>1</v>
      </c>
      <c r="K46" s="9">
        <v>352</v>
      </c>
      <c r="L46" s="9">
        <v>2021</v>
      </c>
      <c r="M46" s="8" t="s">
        <v>372</v>
      </c>
      <c r="N46" s="8" t="s">
        <v>125</v>
      </c>
      <c r="O46" s="8" t="s">
        <v>352</v>
      </c>
      <c r="P46" s="6" t="s">
        <v>44</v>
      </c>
      <c r="Q46" s="8" t="s">
        <v>45</v>
      </c>
      <c r="R46" s="10" t="s">
        <v>108</v>
      </c>
      <c r="S46" s="11"/>
      <c r="T46" s="6"/>
      <c r="U46" s="24" t="str">
        <f>HYPERLINK("https://media.infra-m.ru/1215/1215336/cover/1215336.jpg", "Обложка")</f>
        <v>Обложка</v>
      </c>
      <c r="V46" s="24" t="str">
        <f>HYPERLINK("https://znanium.ru/catalog/product/2174320", "Ознакомиться")</f>
        <v>Ознакомиться</v>
      </c>
      <c r="W46" s="8" t="s">
        <v>361</v>
      </c>
      <c r="X46" s="6"/>
      <c r="Y46" s="6" t="s">
        <v>30</v>
      </c>
      <c r="Z46" s="6" t="s">
        <v>48</v>
      </c>
      <c r="AA46" s="6" t="s">
        <v>129</v>
      </c>
      <c r="AB46" s="8"/>
    </row>
    <row r="47" spans="1:28" s="4" customFormat="1" ht="51.95" customHeight="1">
      <c r="A47" s="5">
        <v>0</v>
      </c>
      <c r="B47" s="6" t="s">
        <v>373</v>
      </c>
      <c r="C47" s="13">
        <v>910</v>
      </c>
      <c r="D47" s="8" t="s">
        <v>374</v>
      </c>
      <c r="E47" s="8" t="s">
        <v>375</v>
      </c>
      <c r="F47" s="8" t="s">
        <v>376</v>
      </c>
      <c r="G47" s="6" t="s">
        <v>90</v>
      </c>
      <c r="H47" s="6" t="s">
        <v>54</v>
      </c>
      <c r="I47" s="8" t="s">
        <v>40</v>
      </c>
      <c r="J47" s="9">
        <v>1</v>
      </c>
      <c r="K47" s="9">
        <v>181</v>
      </c>
      <c r="L47" s="9">
        <v>2025</v>
      </c>
      <c r="M47" s="8" t="s">
        <v>377</v>
      </c>
      <c r="N47" s="8" t="s">
        <v>125</v>
      </c>
      <c r="O47" s="8" t="s">
        <v>352</v>
      </c>
      <c r="P47" s="6" t="s">
        <v>44</v>
      </c>
      <c r="Q47" s="8" t="s">
        <v>45</v>
      </c>
      <c r="R47" s="10" t="s">
        <v>108</v>
      </c>
      <c r="S47" s="11" t="s">
        <v>378</v>
      </c>
      <c r="T47" s="6"/>
      <c r="U47" s="24" t="str">
        <f>HYPERLINK("https://media.infra-m.ru/2167/2167689/cover/2167689.jpg", "Обложка")</f>
        <v>Обложка</v>
      </c>
      <c r="V47" s="24" t="str">
        <f>HYPERLINK("https://znanium.ru/catalog/product/2167689", "Ознакомиться")</f>
        <v>Ознакомиться</v>
      </c>
      <c r="W47" s="8" t="s">
        <v>379</v>
      </c>
      <c r="X47" s="6"/>
      <c r="Y47" s="6"/>
      <c r="Z47" s="6" t="s">
        <v>48</v>
      </c>
      <c r="AA47" s="6" t="s">
        <v>223</v>
      </c>
      <c r="AB47" s="8"/>
    </row>
    <row r="48" spans="1:28" s="4" customFormat="1" ht="51.95" customHeight="1">
      <c r="A48" s="5">
        <v>0</v>
      </c>
      <c r="B48" s="6" t="s">
        <v>380</v>
      </c>
      <c r="C48" s="7">
        <v>1440</v>
      </c>
      <c r="D48" s="8" t="s">
        <v>381</v>
      </c>
      <c r="E48" s="8" t="s">
        <v>382</v>
      </c>
      <c r="F48" s="8" t="s">
        <v>383</v>
      </c>
      <c r="G48" s="6" t="s">
        <v>90</v>
      </c>
      <c r="H48" s="6" t="s">
        <v>299</v>
      </c>
      <c r="I48" s="8" t="s">
        <v>40</v>
      </c>
      <c r="J48" s="9">
        <v>1</v>
      </c>
      <c r="K48" s="9">
        <v>320</v>
      </c>
      <c r="L48" s="9">
        <v>2022</v>
      </c>
      <c r="M48" s="8" t="s">
        <v>384</v>
      </c>
      <c r="N48" s="8" t="s">
        <v>125</v>
      </c>
      <c r="O48" s="8" t="s">
        <v>352</v>
      </c>
      <c r="P48" s="6" t="s">
        <v>58</v>
      </c>
      <c r="Q48" s="8" t="s">
        <v>45</v>
      </c>
      <c r="R48" s="10" t="s">
        <v>385</v>
      </c>
      <c r="S48" s="11" t="s">
        <v>93</v>
      </c>
      <c r="T48" s="6"/>
      <c r="U48" s="24" t="str">
        <f>HYPERLINK("https://media.infra-m.ru/1897/1897880/cover/1897880.jpg", "Обложка")</f>
        <v>Обложка</v>
      </c>
      <c r="V48" s="24" t="str">
        <f>HYPERLINK("https://znanium.ru/catalog/product/2168882", "Ознакомиться")</f>
        <v>Ознакомиться</v>
      </c>
      <c r="W48" s="8" t="s">
        <v>386</v>
      </c>
      <c r="X48" s="6"/>
      <c r="Y48" s="6" t="s">
        <v>30</v>
      </c>
      <c r="Z48" s="6"/>
      <c r="AA48" s="6" t="s">
        <v>387</v>
      </c>
      <c r="AB48" s="8"/>
    </row>
    <row r="49" spans="1:28" s="4" customFormat="1" ht="51.95" customHeight="1">
      <c r="A49" s="5">
        <v>0</v>
      </c>
      <c r="B49" s="6" t="s">
        <v>388</v>
      </c>
      <c r="C49" s="7">
        <v>1734</v>
      </c>
      <c r="D49" s="8" t="s">
        <v>389</v>
      </c>
      <c r="E49" s="8" t="s">
        <v>390</v>
      </c>
      <c r="F49" s="8" t="s">
        <v>383</v>
      </c>
      <c r="G49" s="6" t="s">
        <v>90</v>
      </c>
      <c r="H49" s="6" t="s">
        <v>54</v>
      </c>
      <c r="I49" s="8" t="s">
        <v>40</v>
      </c>
      <c r="J49" s="9">
        <v>1</v>
      </c>
      <c r="K49" s="9">
        <v>333</v>
      </c>
      <c r="L49" s="9">
        <v>2026</v>
      </c>
      <c r="M49" s="8" t="s">
        <v>391</v>
      </c>
      <c r="N49" s="8" t="s">
        <v>125</v>
      </c>
      <c r="O49" s="8" t="s">
        <v>352</v>
      </c>
      <c r="P49" s="6" t="s">
        <v>58</v>
      </c>
      <c r="Q49" s="8" t="s">
        <v>45</v>
      </c>
      <c r="R49" s="10" t="s">
        <v>385</v>
      </c>
      <c r="S49" s="11" t="s">
        <v>392</v>
      </c>
      <c r="T49" s="6"/>
      <c r="U49" s="24" t="str">
        <f>HYPERLINK("https://media.infra-m.ru/2221/2221706/cover/2221706.jpg", "Обложка")</f>
        <v>Обложка</v>
      </c>
      <c r="V49" s="24" t="str">
        <f>HYPERLINK("https://znanium.ru/catalog/product/2168882", "Ознакомиться")</f>
        <v>Ознакомиться</v>
      </c>
      <c r="W49" s="8" t="s">
        <v>386</v>
      </c>
      <c r="X49" s="6"/>
      <c r="Y49" s="6" t="s">
        <v>30</v>
      </c>
      <c r="Z49" s="6"/>
      <c r="AA49" s="6" t="s">
        <v>393</v>
      </c>
      <c r="AB49" s="8"/>
    </row>
    <row r="50" spans="1:28" s="4" customFormat="1" ht="51.95" customHeight="1">
      <c r="A50" s="5">
        <v>0</v>
      </c>
      <c r="B50" s="6" t="s">
        <v>394</v>
      </c>
      <c r="C50" s="7">
        <v>2260</v>
      </c>
      <c r="D50" s="8" t="s">
        <v>395</v>
      </c>
      <c r="E50" s="8" t="s">
        <v>396</v>
      </c>
      <c r="F50" s="8" t="s">
        <v>397</v>
      </c>
      <c r="G50" s="6" t="s">
        <v>38</v>
      </c>
      <c r="H50" s="6" t="s">
        <v>54</v>
      </c>
      <c r="I50" s="8" t="s">
        <v>40</v>
      </c>
      <c r="J50" s="9">
        <v>1</v>
      </c>
      <c r="K50" s="9">
        <v>481</v>
      </c>
      <c r="L50" s="9">
        <v>2024</v>
      </c>
      <c r="M50" s="8" t="s">
        <v>398</v>
      </c>
      <c r="N50" s="8" t="s">
        <v>125</v>
      </c>
      <c r="O50" s="8" t="s">
        <v>352</v>
      </c>
      <c r="P50" s="6" t="s">
        <v>44</v>
      </c>
      <c r="Q50" s="8" t="s">
        <v>45</v>
      </c>
      <c r="R50" s="10" t="s">
        <v>108</v>
      </c>
      <c r="S50" s="11" t="s">
        <v>399</v>
      </c>
      <c r="T50" s="6"/>
      <c r="U50" s="24" t="str">
        <f>HYPERLINK("https://media.infra-m.ru/2121/2121597/cover/2121597.jpg", "Обложка")</f>
        <v>Обложка</v>
      </c>
      <c r="V50" s="24" t="str">
        <f>HYPERLINK("https://znanium.ru/catalog/product/2121597", "Ознакомиться")</f>
        <v>Ознакомиться</v>
      </c>
      <c r="W50" s="8" t="s">
        <v>400</v>
      </c>
      <c r="X50" s="6"/>
      <c r="Y50" s="6"/>
      <c r="Z50" s="6"/>
      <c r="AA50" s="6" t="s">
        <v>223</v>
      </c>
      <c r="AB50" s="8" t="s">
        <v>401</v>
      </c>
    </row>
    <row r="51" spans="1:28" s="4" customFormat="1" ht="42" customHeight="1">
      <c r="A51" s="5">
        <v>0</v>
      </c>
      <c r="B51" s="6" t="s">
        <v>402</v>
      </c>
      <c r="C51" s="13">
        <v>930</v>
      </c>
      <c r="D51" s="8" t="s">
        <v>403</v>
      </c>
      <c r="E51" s="8" t="s">
        <v>404</v>
      </c>
      <c r="F51" s="8" t="s">
        <v>383</v>
      </c>
      <c r="G51" s="6" t="s">
        <v>90</v>
      </c>
      <c r="H51" s="6" t="s">
        <v>39</v>
      </c>
      <c r="I51" s="8" t="s">
        <v>40</v>
      </c>
      <c r="J51" s="9">
        <v>1</v>
      </c>
      <c r="K51" s="9">
        <v>169</v>
      </c>
      <c r="L51" s="9">
        <v>2026</v>
      </c>
      <c r="M51" s="8" t="s">
        <v>405</v>
      </c>
      <c r="N51" s="8" t="s">
        <v>125</v>
      </c>
      <c r="O51" s="8" t="s">
        <v>352</v>
      </c>
      <c r="P51" s="6" t="s">
        <v>44</v>
      </c>
      <c r="Q51" s="8" t="s">
        <v>45</v>
      </c>
      <c r="R51" s="10" t="s">
        <v>108</v>
      </c>
      <c r="S51" s="11"/>
      <c r="T51" s="6"/>
      <c r="U51" s="24" t="str">
        <f>HYPERLINK("https://media.infra-m.ru/2225/2225234/cover/2225234.jpg", "Обложка")</f>
        <v>Обложка</v>
      </c>
      <c r="V51" s="24" t="str">
        <f>HYPERLINK("https://znanium.ru/catalog/product/2225234", "Ознакомиться")</f>
        <v>Ознакомиться</v>
      </c>
      <c r="W51" s="8" t="s">
        <v>386</v>
      </c>
      <c r="X51" s="6"/>
      <c r="Y51" s="6" t="s">
        <v>30</v>
      </c>
      <c r="Z51" s="6"/>
      <c r="AA51" s="6" t="s">
        <v>74</v>
      </c>
      <c r="AB51" s="8"/>
    </row>
    <row r="52" spans="1:28" s="4" customFormat="1" ht="51.95" customHeight="1">
      <c r="A52" s="5">
        <v>0</v>
      </c>
      <c r="B52" s="6" t="s">
        <v>406</v>
      </c>
      <c r="C52" s="13">
        <v>874</v>
      </c>
      <c r="D52" s="8" t="s">
        <v>407</v>
      </c>
      <c r="E52" s="8" t="s">
        <v>408</v>
      </c>
      <c r="F52" s="8" t="s">
        <v>409</v>
      </c>
      <c r="G52" s="6" t="s">
        <v>90</v>
      </c>
      <c r="H52" s="6" t="s">
        <v>39</v>
      </c>
      <c r="I52" s="8" t="s">
        <v>40</v>
      </c>
      <c r="J52" s="9">
        <v>1</v>
      </c>
      <c r="K52" s="9">
        <v>174</v>
      </c>
      <c r="L52" s="9">
        <v>2025</v>
      </c>
      <c r="M52" s="8" t="s">
        <v>410</v>
      </c>
      <c r="N52" s="8" t="s">
        <v>42</v>
      </c>
      <c r="O52" s="8" t="s">
        <v>319</v>
      </c>
      <c r="P52" s="6" t="s">
        <v>44</v>
      </c>
      <c r="Q52" s="8" t="s">
        <v>45</v>
      </c>
      <c r="R52" s="10" t="s">
        <v>411</v>
      </c>
      <c r="S52" s="11" t="s">
        <v>412</v>
      </c>
      <c r="T52" s="6"/>
      <c r="U52" s="24" t="str">
        <f>HYPERLINK("https://media.infra-m.ru/2163/2163790/cover/2163790.jpg", "Обложка")</f>
        <v>Обложка</v>
      </c>
      <c r="V52" s="24" t="str">
        <f>HYPERLINK("https://znanium.ru/catalog/product/2163243", "Ознакомиться")</f>
        <v>Ознакомиться</v>
      </c>
      <c r="W52" s="8" t="s">
        <v>413</v>
      </c>
      <c r="X52" s="6"/>
      <c r="Y52" s="6"/>
      <c r="Z52" s="6" t="s">
        <v>48</v>
      </c>
      <c r="AA52" s="6" t="s">
        <v>223</v>
      </c>
      <c r="AB52" s="8"/>
    </row>
    <row r="53" spans="1:28" s="4" customFormat="1" ht="51.95" customHeight="1">
      <c r="A53" s="5">
        <v>0</v>
      </c>
      <c r="B53" s="6" t="s">
        <v>414</v>
      </c>
      <c r="C53" s="7">
        <v>1934</v>
      </c>
      <c r="D53" s="8" t="s">
        <v>415</v>
      </c>
      <c r="E53" s="8" t="s">
        <v>416</v>
      </c>
      <c r="F53" s="8" t="s">
        <v>417</v>
      </c>
      <c r="G53" s="6" t="s">
        <v>90</v>
      </c>
      <c r="H53" s="6" t="s">
        <v>299</v>
      </c>
      <c r="I53" s="8" t="s">
        <v>40</v>
      </c>
      <c r="J53" s="9">
        <v>1</v>
      </c>
      <c r="K53" s="9">
        <v>352</v>
      </c>
      <c r="L53" s="9">
        <v>2026</v>
      </c>
      <c r="M53" s="8" t="s">
        <v>418</v>
      </c>
      <c r="N53" s="8" t="s">
        <v>42</v>
      </c>
      <c r="O53" s="8" t="s">
        <v>43</v>
      </c>
      <c r="P53" s="6" t="s">
        <v>44</v>
      </c>
      <c r="Q53" s="8" t="s">
        <v>45</v>
      </c>
      <c r="R53" s="10" t="s">
        <v>419</v>
      </c>
      <c r="S53" s="11" t="s">
        <v>420</v>
      </c>
      <c r="T53" s="6"/>
      <c r="U53" s="24" t="str">
        <f>HYPERLINK("https://media.infra-m.ru/2226/2226475/cover/2226475.jpg", "Обложка")</f>
        <v>Обложка</v>
      </c>
      <c r="V53" s="24" t="str">
        <f>HYPERLINK("https://znanium.ru/catalog/product/1189320", "Ознакомиться")</f>
        <v>Ознакомиться</v>
      </c>
      <c r="W53" s="8" t="s">
        <v>180</v>
      </c>
      <c r="X53" s="6"/>
      <c r="Y53" s="6"/>
      <c r="Z53" s="6"/>
      <c r="AA53" s="6" t="s">
        <v>304</v>
      </c>
      <c r="AB53" s="8"/>
    </row>
    <row r="54" spans="1:28" s="4" customFormat="1" ht="42" customHeight="1">
      <c r="A54" s="5">
        <v>0</v>
      </c>
      <c r="B54" s="6" t="s">
        <v>421</v>
      </c>
      <c r="C54" s="7">
        <v>1270</v>
      </c>
      <c r="D54" s="8" t="s">
        <v>422</v>
      </c>
      <c r="E54" s="8" t="s">
        <v>423</v>
      </c>
      <c r="F54" s="8" t="s">
        <v>424</v>
      </c>
      <c r="G54" s="6" t="s">
        <v>90</v>
      </c>
      <c r="H54" s="6" t="s">
        <v>54</v>
      </c>
      <c r="I54" s="8" t="s">
        <v>40</v>
      </c>
      <c r="J54" s="9">
        <v>1</v>
      </c>
      <c r="K54" s="9">
        <v>247</v>
      </c>
      <c r="L54" s="9">
        <v>2025</v>
      </c>
      <c r="M54" s="8" t="s">
        <v>425</v>
      </c>
      <c r="N54" s="8" t="s">
        <v>42</v>
      </c>
      <c r="O54" s="8" t="s">
        <v>169</v>
      </c>
      <c r="P54" s="6" t="s">
        <v>44</v>
      </c>
      <c r="Q54" s="8" t="s">
        <v>45</v>
      </c>
      <c r="R54" s="10" t="s">
        <v>426</v>
      </c>
      <c r="S54" s="11"/>
      <c r="T54" s="6"/>
      <c r="U54" s="24" t="str">
        <f>HYPERLINK("https://media.infra-m.ru/2164/2164049/cover/2164049.jpg", "Обложка")</f>
        <v>Обложка</v>
      </c>
      <c r="V54" s="24" t="str">
        <f>HYPERLINK("https://znanium.ru/catalog/product/2164049", "Ознакомиться")</f>
        <v>Ознакомиться</v>
      </c>
      <c r="W54" s="8" t="s">
        <v>180</v>
      </c>
      <c r="X54" s="6"/>
      <c r="Y54" s="6"/>
      <c r="Z54" s="6" t="s">
        <v>48</v>
      </c>
      <c r="AA54" s="6" t="s">
        <v>231</v>
      </c>
      <c r="AB54" s="8"/>
    </row>
    <row r="55" spans="1:28" s="4" customFormat="1" ht="51.95" customHeight="1">
      <c r="A55" s="5">
        <v>0</v>
      </c>
      <c r="B55" s="6" t="s">
        <v>427</v>
      </c>
      <c r="C55" s="7">
        <v>1380</v>
      </c>
      <c r="D55" s="8" t="s">
        <v>428</v>
      </c>
      <c r="E55" s="8" t="s">
        <v>429</v>
      </c>
      <c r="F55" s="8" t="s">
        <v>430</v>
      </c>
      <c r="G55" s="6" t="s">
        <v>90</v>
      </c>
      <c r="H55" s="6" t="s">
        <v>68</v>
      </c>
      <c r="I55" s="8" t="s">
        <v>69</v>
      </c>
      <c r="J55" s="9">
        <v>1</v>
      </c>
      <c r="K55" s="9">
        <v>264</v>
      </c>
      <c r="L55" s="9">
        <v>2025</v>
      </c>
      <c r="M55" s="8" t="s">
        <v>431</v>
      </c>
      <c r="N55" s="8" t="s">
        <v>125</v>
      </c>
      <c r="O55" s="8" t="s">
        <v>432</v>
      </c>
      <c r="P55" s="6" t="s">
        <v>58</v>
      </c>
      <c r="Q55" s="8" t="s">
        <v>45</v>
      </c>
      <c r="R55" s="10" t="s">
        <v>433</v>
      </c>
      <c r="S55" s="11"/>
      <c r="T55" s="6"/>
      <c r="U55" s="24" t="str">
        <f>HYPERLINK("https://media.infra-m.ru/2160/2160913/cover/2160913.jpg", "Обложка")</f>
        <v>Обложка</v>
      </c>
      <c r="V55" s="24" t="str">
        <f>HYPERLINK("https://znanium.ru/catalog/product/2160913", "Ознакомиться")</f>
        <v>Ознакомиться</v>
      </c>
      <c r="W55" s="8" t="s">
        <v>434</v>
      </c>
      <c r="X55" s="6"/>
      <c r="Y55" s="6" t="s">
        <v>30</v>
      </c>
      <c r="Z55" s="6"/>
      <c r="AA55" s="6" t="s">
        <v>111</v>
      </c>
      <c r="AB55" s="8"/>
    </row>
    <row r="56" spans="1:28" s="4" customFormat="1" ht="51.95" customHeight="1">
      <c r="A56" s="5">
        <v>0</v>
      </c>
      <c r="B56" s="6" t="s">
        <v>435</v>
      </c>
      <c r="C56" s="7">
        <v>2064</v>
      </c>
      <c r="D56" s="8" t="s">
        <v>436</v>
      </c>
      <c r="E56" s="8" t="s">
        <v>437</v>
      </c>
      <c r="F56" s="8" t="s">
        <v>438</v>
      </c>
      <c r="G56" s="6" t="s">
        <v>90</v>
      </c>
      <c r="H56" s="6" t="s">
        <v>54</v>
      </c>
      <c r="I56" s="8" t="s">
        <v>40</v>
      </c>
      <c r="J56" s="9">
        <v>1</v>
      </c>
      <c r="K56" s="9">
        <v>374</v>
      </c>
      <c r="L56" s="9">
        <v>2026</v>
      </c>
      <c r="M56" s="8" t="s">
        <v>439</v>
      </c>
      <c r="N56" s="8" t="s">
        <v>125</v>
      </c>
      <c r="O56" s="8" t="s">
        <v>432</v>
      </c>
      <c r="P56" s="6" t="s">
        <v>58</v>
      </c>
      <c r="Q56" s="8" t="s">
        <v>45</v>
      </c>
      <c r="R56" s="10" t="s">
        <v>440</v>
      </c>
      <c r="S56" s="11" t="s">
        <v>441</v>
      </c>
      <c r="T56" s="6"/>
      <c r="U56" s="24" t="str">
        <f>HYPERLINK("https://media.infra-m.ru/2224/2224112/cover/2224112.jpg", "Обложка")</f>
        <v>Обложка</v>
      </c>
      <c r="V56" s="24" t="str">
        <f>HYPERLINK("https://znanium.ru/catalog/product/2181288", "Ознакомиться")</f>
        <v>Ознакомиться</v>
      </c>
      <c r="W56" s="8" t="s">
        <v>442</v>
      </c>
      <c r="X56" s="6"/>
      <c r="Y56" s="6" t="s">
        <v>30</v>
      </c>
      <c r="Z56" s="6" t="s">
        <v>48</v>
      </c>
      <c r="AA56" s="6" t="s">
        <v>443</v>
      </c>
      <c r="AB56" s="8"/>
    </row>
    <row r="57" spans="1:28" s="4" customFormat="1" ht="51.95" customHeight="1">
      <c r="A57" s="5">
        <v>0</v>
      </c>
      <c r="B57" s="6" t="s">
        <v>444</v>
      </c>
      <c r="C57" s="7">
        <v>1650</v>
      </c>
      <c r="D57" s="8" t="s">
        <v>445</v>
      </c>
      <c r="E57" s="8" t="s">
        <v>446</v>
      </c>
      <c r="F57" s="8" t="s">
        <v>447</v>
      </c>
      <c r="G57" s="6" t="s">
        <v>38</v>
      </c>
      <c r="H57" s="6" t="s">
        <v>54</v>
      </c>
      <c r="I57" s="8" t="s">
        <v>40</v>
      </c>
      <c r="J57" s="9">
        <v>1</v>
      </c>
      <c r="K57" s="9">
        <v>287</v>
      </c>
      <c r="L57" s="9">
        <v>2025</v>
      </c>
      <c r="M57" s="8" t="s">
        <v>448</v>
      </c>
      <c r="N57" s="8" t="s">
        <v>125</v>
      </c>
      <c r="O57" s="8" t="s">
        <v>432</v>
      </c>
      <c r="P57" s="6" t="s">
        <v>58</v>
      </c>
      <c r="Q57" s="8" t="s">
        <v>45</v>
      </c>
      <c r="R57" s="10" t="s">
        <v>449</v>
      </c>
      <c r="S57" s="11"/>
      <c r="T57" s="6"/>
      <c r="U57" s="24" t="str">
        <f>HYPERLINK("https://media.infra-m.ru/2158/2158214/cover/2158214.jpg", "Обложка")</f>
        <v>Обложка</v>
      </c>
      <c r="V57" s="24" t="str">
        <f>HYPERLINK("https://znanium.ru/catalog/product/2158214", "Ознакомиться")</f>
        <v>Ознакомиться</v>
      </c>
      <c r="W57" s="8" t="s">
        <v>180</v>
      </c>
      <c r="X57" s="6" t="s">
        <v>450</v>
      </c>
      <c r="Y57" s="6"/>
      <c r="Z57" s="6"/>
      <c r="AA57" s="6" t="s">
        <v>451</v>
      </c>
      <c r="AB57" s="8"/>
    </row>
    <row r="58" spans="1:28" s="4" customFormat="1" ht="51.95" customHeight="1">
      <c r="A58" s="5">
        <v>0</v>
      </c>
      <c r="B58" s="6" t="s">
        <v>452</v>
      </c>
      <c r="C58" s="7">
        <v>1700</v>
      </c>
      <c r="D58" s="8" t="s">
        <v>453</v>
      </c>
      <c r="E58" s="8" t="s">
        <v>454</v>
      </c>
      <c r="F58" s="8" t="s">
        <v>455</v>
      </c>
      <c r="G58" s="6" t="s">
        <v>90</v>
      </c>
      <c r="H58" s="6" t="s">
        <v>54</v>
      </c>
      <c r="I58" s="8" t="s">
        <v>40</v>
      </c>
      <c r="J58" s="9">
        <v>1</v>
      </c>
      <c r="K58" s="9">
        <v>368</v>
      </c>
      <c r="L58" s="9">
        <v>2024</v>
      </c>
      <c r="M58" s="8" t="s">
        <v>456</v>
      </c>
      <c r="N58" s="8" t="s">
        <v>125</v>
      </c>
      <c r="O58" s="8" t="s">
        <v>432</v>
      </c>
      <c r="P58" s="6" t="s">
        <v>58</v>
      </c>
      <c r="Q58" s="8" t="s">
        <v>45</v>
      </c>
      <c r="R58" s="10" t="s">
        <v>449</v>
      </c>
      <c r="S58" s="11" t="s">
        <v>457</v>
      </c>
      <c r="T58" s="6"/>
      <c r="U58" s="24" t="str">
        <f>HYPERLINK("https://media.infra-m.ru/2126/2126914/cover/2126914.jpg", "Обложка")</f>
        <v>Обложка</v>
      </c>
      <c r="V58" s="24" t="str">
        <f>HYPERLINK("https://znanium.ru/catalog/product/2158214", "Ознакомиться")</f>
        <v>Ознакомиться</v>
      </c>
      <c r="W58" s="8" t="s">
        <v>180</v>
      </c>
      <c r="X58" s="6"/>
      <c r="Y58" s="6"/>
      <c r="Z58" s="6"/>
      <c r="AA58" s="6" t="s">
        <v>458</v>
      </c>
      <c r="AB58" s="8"/>
    </row>
    <row r="59" spans="1:28" s="4" customFormat="1" ht="51.95" customHeight="1">
      <c r="A59" s="5">
        <v>0</v>
      </c>
      <c r="B59" s="6" t="s">
        <v>459</v>
      </c>
      <c r="C59" s="7">
        <v>1510</v>
      </c>
      <c r="D59" s="8" t="s">
        <v>460</v>
      </c>
      <c r="E59" s="8" t="s">
        <v>461</v>
      </c>
      <c r="F59" s="8" t="s">
        <v>462</v>
      </c>
      <c r="G59" s="6" t="s">
        <v>90</v>
      </c>
      <c r="H59" s="6" t="s">
        <v>54</v>
      </c>
      <c r="I59" s="8" t="s">
        <v>40</v>
      </c>
      <c r="J59" s="9">
        <v>1</v>
      </c>
      <c r="K59" s="9">
        <v>302</v>
      </c>
      <c r="L59" s="9">
        <v>2025</v>
      </c>
      <c r="M59" s="8" t="s">
        <v>463</v>
      </c>
      <c r="N59" s="8" t="s">
        <v>125</v>
      </c>
      <c r="O59" s="8" t="s">
        <v>432</v>
      </c>
      <c r="P59" s="6" t="s">
        <v>58</v>
      </c>
      <c r="Q59" s="8" t="s">
        <v>45</v>
      </c>
      <c r="R59" s="10" t="s">
        <v>464</v>
      </c>
      <c r="S59" s="11" t="s">
        <v>465</v>
      </c>
      <c r="T59" s="6"/>
      <c r="U59" s="24" t="str">
        <f>HYPERLINK("https://media.infra-m.ru/2179/2179081/cover/2179081.jpg", "Обложка")</f>
        <v>Обложка</v>
      </c>
      <c r="V59" s="24" t="str">
        <f>HYPERLINK("https://znanium.ru/catalog/product/1227692", "Ознакомиться")</f>
        <v>Ознакомиться</v>
      </c>
      <c r="W59" s="8" t="s">
        <v>466</v>
      </c>
      <c r="X59" s="6"/>
      <c r="Y59" s="6"/>
      <c r="Z59" s="6" t="s">
        <v>48</v>
      </c>
      <c r="AA59" s="6" t="s">
        <v>111</v>
      </c>
      <c r="AB59" s="8"/>
    </row>
    <row r="60" spans="1:28" s="4" customFormat="1" ht="51.95" customHeight="1">
      <c r="A60" s="5">
        <v>0</v>
      </c>
      <c r="B60" s="6" t="s">
        <v>467</v>
      </c>
      <c r="C60" s="7">
        <v>1330</v>
      </c>
      <c r="D60" s="8" t="s">
        <v>468</v>
      </c>
      <c r="E60" s="8" t="s">
        <v>469</v>
      </c>
      <c r="F60" s="8" t="s">
        <v>470</v>
      </c>
      <c r="G60" s="6" t="s">
        <v>90</v>
      </c>
      <c r="H60" s="6" t="s">
        <v>54</v>
      </c>
      <c r="I60" s="8" t="s">
        <v>40</v>
      </c>
      <c r="J60" s="9">
        <v>1</v>
      </c>
      <c r="K60" s="9">
        <v>256</v>
      </c>
      <c r="L60" s="9">
        <v>2026</v>
      </c>
      <c r="M60" s="8" t="s">
        <v>471</v>
      </c>
      <c r="N60" s="8" t="s">
        <v>125</v>
      </c>
      <c r="O60" s="8" t="s">
        <v>432</v>
      </c>
      <c r="P60" s="6" t="s">
        <v>44</v>
      </c>
      <c r="Q60" s="8" t="s">
        <v>45</v>
      </c>
      <c r="R60" s="10" t="s">
        <v>433</v>
      </c>
      <c r="S60" s="11" t="s">
        <v>472</v>
      </c>
      <c r="T60" s="6"/>
      <c r="U60" s="24" t="str">
        <f>HYPERLINK("https://media.infra-m.ru/2216/2216929/cover/2216929.jpg", "Обложка")</f>
        <v>Обложка</v>
      </c>
      <c r="V60" s="24" t="str">
        <f>HYPERLINK("https://znanium.ru/catalog/product/2216929", "Ознакомиться")</f>
        <v>Ознакомиться</v>
      </c>
      <c r="W60" s="8" t="s">
        <v>473</v>
      </c>
      <c r="X60" s="6"/>
      <c r="Y60" s="6" t="s">
        <v>30</v>
      </c>
      <c r="Z60" s="6" t="s">
        <v>48</v>
      </c>
      <c r="AA60" s="6" t="s">
        <v>111</v>
      </c>
      <c r="AB60" s="8"/>
    </row>
    <row r="61" spans="1:28" s="4" customFormat="1" ht="51.95" customHeight="1">
      <c r="A61" s="5">
        <v>0</v>
      </c>
      <c r="B61" s="6" t="s">
        <v>474</v>
      </c>
      <c r="C61" s="7">
        <v>1120</v>
      </c>
      <c r="D61" s="8" t="s">
        <v>475</v>
      </c>
      <c r="E61" s="8" t="s">
        <v>476</v>
      </c>
      <c r="F61" s="8" t="s">
        <v>430</v>
      </c>
      <c r="G61" s="6" t="s">
        <v>90</v>
      </c>
      <c r="H61" s="6" t="s">
        <v>68</v>
      </c>
      <c r="I61" s="8" t="s">
        <v>69</v>
      </c>
      <c r="J61" s="9">
        <v>1</v>
      </c>
      <c r="K61" s="9">
        <v>204</v>
      </c>
      <c r="L61" s="9">
        <v>2025</v>
      </c>
      <c r="M61" s="8" t="s">
        <v>477</v>
      </c>
      <c r="N61" s="8" t="s">
        <v>125</v>
      </c>
      <c r="O61" s="8" t="s">
        <v>432</v>
      </c>
      <c r="P61" s="6" t="s">
        <v>44</v>
      </c>
      <c r="Q61" s="8" t="s">
        <v>45</v>
      </c>
      <c r="R61" s="10" t="s">
        <v>464</v>
      </c>
      <c r="S61" s="11"/>
      <c r="T61" s="6"/>
      <c r="U61" s="24" t="str">
        <f>HYPERLINK("https://media.infra-m.ru/2199/2199628/cover/2199628.jpg", "Обложка")</f>
        <v>Обложка</v>
      </c>
      <c r="V61" s="24" t="str">
        <f>HYPERLINK("https://znanium.ru/catalog/product/2199628", "Ознакомиться")</f>
        <v>Ознакомиться</v>
      </c>
      <c r="W61" s="8" t="s">
        <v>434</v>
      </c>
      <c r="X61" s="6"/>
      <c r="Y61" s="6"/>
      <c r="Z61" s="6"/>
      <c r="AA61" s="6" t="s">
        <v>223</v>
      </c>
      <c r="AB61" s="8"/>
    </row>
    <row r="62" spans="1:28" s="4" customFormat="1" ht="51.95" customHeight="1">
      <c r="A62" s="5">
        <v>0</v>
      </c>
      <c r="B62" s="6" t="s">
        <v>478</v>
      </c>
      <c r="C62" s="13">
        <v>994</v>
      </c>
      <c r="D62" s="8" t="s">
        <v>479</v>
      </c>
      <c r="E62" s="8" t="s">
        <v>480</v>
      </c>
      <c r="F62" s="8" t="s">
        <v>481</v>
      </c>
      <c r="G62" s="6" t="s">
        <v>90</v>
      </c>
      <c r="H62" s="6" t="s">
        <v>54</v>
      </c>
      <c r="I62" s="8" t="s">
        <v>40</v>
      </c>
      <c r="J62" s="9">
        <v>1</v>
      </c>
      <c r="K62" s="9">
        <v>198</v>
      </c>
      <c r="L62" s="9">
        <v>2025</v>
      </c>
      <c r="M62" s="8" t="s">
        <v>482</v>
      </c>
      <c r="N62" s="8" t="s">
        <v>125</v>
      </c>
      <c r="O62" s="8" t="s">
        <v>432</v>
      </c>
      <c r="P62" s="6" t="s">
        <v>44</v>
      </c>
      <c r="Q62" s="8" t="s">
        <v>45</v>
      </c>
      <c r="R62" s="10" t="s">
        <v>464</v>
      </c>
      <c r="S62" s="11" t="s">
        <v>483</v>
      </c>
      <c r="T62" s="6"/>
      <c r="U62" s="24" t="str">
        <f>HYPERLINK("https://media.infra-m.ru/2188/2188198/cover/2188198.jpg", "Обложка")</f>
        <v>Обложка</v>
      </c>
      <c r="V62" s="24" t="str">
        <f>HYPERLINK("https://znanium.ru/catalog/product/1844464", "Ознакомиться")</f>
        <v>Ознакомиться</v>
      </c>
      <c r="W62" s="8" t="s">
        <v>484</v>
      </c>
      <c r="X62" s="6"/>
      <c r="Y62" s="6"/>
      <c r="Z62" s="6"/>
      <c r="AA62" s="6" t="s">
        <v>485</v>
      </c>
      <c r="AB62" s="8"/>
    </row>
    <row r="63" spans="1:28" s="4" customFormat="1" ht="51.95" customHeight="1">
      <c r="A63" s="5">
        <v>0</v>
      </c>
      <c r="B63" s="6" t="s">
        <v>486</v>
      </c>
      <c r="C63" s="7">
        <v>1140</v>
      </c>
      <c r="D63" s="8" t="s">
        <v>487</v>
      </c>
      <c r="E63" s="8" t="s">
        <v>488</v>
      </c>
      <c r="F63" s="8" t="s">
        <v>489</v>
      </c>
      <c r="G63" s="6" t="s">
        <v>90</v>
      </c>
      <c r="H63" s="6" t="s">
        <v>54</v>
      </c>
      <c r="I63" s="8" t="s">
        <v>40</v>
      </c>
      <c r="J63" s="9">
        <v>1</v>
      </c>
      <c r="K63" s="9">
        <v>208</v>
      </c>
      <c r="L63" s="9">
        <v>2026</v>
      </c>
      <c r="M63" s="8" t="s">
        <v>490</v>
      </c>
      <c r="N63" s="8" t="s">
        <v>125</v>
      </c>
      <c r="O63" s="8" t="s">
        <v>432</v>
      </c>
      <c r="P63" s="6" t="s">
        <v>44</v>
      </c>
      <c r="Q63" s="8" t="s">
        <v>45</v>
      </c>
      <c r="R63" s="10" t="s">
        <v>464</v>
      </c>
      <c r="S63" s="11" t="s">
        <v>491</v>
      </c>
      <c r="T63" s="6"/>
      <c r="U63" s="24" t="str">
        <f>HYPERLINK("https://media.infra-m.ru/2215/2215953/cover/2215953.jpg", "Обложка")</f>
        <v>Обложка</v>
      </c>
      <c r="V63" s="24" t="str">
        <f>HYPERLINK("https://znanium.ru/catalog/product/2054997", "Ознакомиться")</f>
        <v>Ознакомиться</v>
      </c>
      <c r="W63" s="8" t="s">
        <v>82</v>
      </c>
      <c r="X63" s="6"/>
      <c r="Y63" s="6" t="s">
        <v>30</v>
      </c>
      <c r="Z63" s="6"/>
      <c r="AA63" s="6" t="s">
        <v>492</v>
      </c>
      <c r="AB63" s="8"/>
    </row>
    <row r="64" spans="1:28" s="4" customFormat="1" ht="51.95" customHeight="1">
      <c r="A64" s="5">
        <v>0</v>
      </c>
      <c r="B64" s="6" t="s">
        <v>493</v>
      </c>
      <c r="C64" s="7">
        <v>1350</v>
      </c>
      <c r="D64" s="8" t="s">
        <v>494</v>
      </c>
      <c r="E64" s="8" t="s">
        <v>495</v>
      </c>
      <c r="F64" s="8" t="s">
        <v>496</v>
      </c>
      <c r="G64" s="6" t="s">
        <v>90</v>
      </c>
      <c r="H64" s="6" t="s">
        <v>54</v>
      </c>
      <c r="I64" s="8" t="s">
        <v>40</v>
      </c>
      <c r="J64" s="9">
        <v>1</v>
      </c>
      <c r="K64" s="9">
        <v>269</v>
      </c>
      <c r="L64" s="9">
        <v>2025</v>
      </c>
      <c r="M64" s="8" t="s">
        <v>497</v>
      </c>
      <c r="N64" s="8" t="s">
        <v>125</v>
      </c>
      <c r="O64" s="8" t="s">
        <v>432</v>
      </c>
      <c r="P64" s="6" t="s">
        <v>44</v>
      </c>
      <c r="Q64" s="8" t="s">
        <v>45</v>
      </c>
      <c r="R64" s="10" t="s">
        <v>433</v>
      </c>
      <c r="S64" s="11" t="s">
        <v>498</v>
      </c>
      <c r="T64" s="6" t="s">
        <v>118</v>
      </c>
      <c r="U64" s="24" t="str">
        <f>HYPERLINK("https://media.infra-m.ru/2163/2163829/cover/2163829.jpg", "Обложка")</f>
        <v>Обложка</v>
      </c>
      <c r="V64" s="24" t="str">
        <f>HYPERLINK("https://znanium.ru/catalog/product/2163829", "Ознакомиться")</f>
        <v>Ознакомиться</v>
      </c>
      <c r="W64" s="8" t="s">
        <v>499</v>
      </c>
      <c r="X64" s="6"/>
      <c r="Y64" s="6"/>
      <c r="Z64" s="6"/>
      <c r="AA64" s="6" t="s">
        <v>500</v>
      </c>
      <c r="AB64" s="8"/>
    </row>
    <row r="65" spans="1:28" s="4" customFormat="1" ht="51.95" customHeight="1">
      <c r="A65" s="5">
        <v>0</v>
      </c>
      <c r="B65" s="6" t="s">
        <v>501</v>
      </c>
      <c r="C65" s="13">
        <v>730</v>
      </c>
      <c r="D65" s="8" t="s">
        <v>502</v>
      </c>
      <c r="E65" s="8" t="s">
        <v>503</v>
      </c>
      <c r="F65" s="8" t="s">
        <v>504</v>
      </c>
      <c r="G65" s="6" t="s">
        <v>90</v>
      </c>
      <c r="H65" s="6" t="s">
        <v>299</v>
      </c>
      <c r="I65" s="8" t="s">
        <v>40</v>
      </c>
      <c r="J65" s="9">
        <v>1</v>
      </c>
      <c r="K65" s="9">
        <v>192</v>
      </c>
      <c r="L65" s="9">
        <v>2021</v>
      </c>
      <c r="M65" s="8" t="s">
        <v>505</v>
      </c>
      <c r="N65" s="8" t="s">
        <v>125</v>
      </c>
      <c r="O65" s="8" t="s">
        <v>432</v>
      </c>
      <c r="P65" s="6" t="s">
        <v>44</v>
      </c>
      <c r="Q65" s="8" t="s">
        <v>45</v>
      </c>
      <c r="R65" s="10" t="s">
        <v>464</v>
      </c>
      <c r="S65" s="11" t="s">
        <v>506</v>
      </c>
      <c r="T65" s="6"/>
      <c r="U65" s="24" t="str">
        <f>HYPERLINK("https://media.infra-m.ru/1844/1844464/cover/1844464.jpg", "Обложка")</f>
        <v>Обложка</v>
      </c>
      <c r="V65" s="24" t="str">
        <f>HYPERLINK("https://znanium.ru/catalog/product/1844464", "Ознакомиться")</f>
        <v>Ознакомиться</v>
      </c>
      <c r="W65" s="8" t="s">
        <v>484</v>
      </c>
      <c r="X65" s="6"/>
      <c r="Y65" s="6"/>
      <c r="Z65" s="6"/>
      <c r="AA65" s="6" t="s">
        <v>507</v>
      </c>
      <c r="AB65" s="8"/>
    </row>
    <row r="66" spans="1:28" s="4" customFormat="1" ht="51.95" customHeight="1">
      <c r="A66" s="5">
        <v>0</v>
      </c>
      <c r="B66" s="6" t="s">
        <v>508</v>
      </c>
      <c r="C66" s="7">
        <v>1550</v>
      </c>
      <c r="D66" s="8" t="s">
        <v>509</v>
      </c>
      <c r="E66" s="8" t="s">
        <v>510</v>
      </c>
      <c r="F66" s="8" t="s">
        <v>481</v>
      </c>
      <c r="G66" s="6" t="s">
        <v>90</v>
      </c>
      <c r="H66" s="6" t="s">
        <v>299</v>
      </c>
      <c r="I66" s="8" t="s">
        <v>40</v>
      </c>
      <c r="J66" s="9">
        <v>1</v>
      </c>
      <c r="K66" s="9">
        <v>335</v>
      </c>
      <c r="L66" s="9">
        <v>2024</v>
      </c>
      <c r="M66" s="8" t="s">
        <v>511</v>
      </c>
      <c r="N66" s="8" t="s">
        <v>125</v>
      </c>
      <c r="O66" s="8" t="s">
        <v>432</v>
      </c>
      <c r="P66" s="6" t="s">
        <v>58</v>
      </c>
      <c r="Q66" s="8" t="s">
        <v>45</v>
      </c>
      <c r="R66" s="10" t="s">
        <v>464</v>
      </c>
      <c r="S66" s="11" t="s">
        <v>512</v>
      </c>
      <c r="T66" s="6"/>
      <c r="U66" s="24" t="str">
        <f>HYPERLINK("https://media.infra-m.ru/2108/2108467/cover/2108467.jpg", "Обложка")</f>
        <v>Обложка</v>
      </c>
      <c r="V66" s="24" t="str">
        <f>HYPERLINK("https://znanium.ru/catalog/product/2108467", "Ознакомиться")</f>
        <v>Ознакомиться</v>
      </c>
      <c r="W66" s="8" t="s">
        <v>484</v>
      </c>
      <c r="X66" s="6"/>
      <c r="Y66" s="6"/>
      <c r="Z66" s="6"/>
      <c r="AA66" s="6" t="s">
        <v>253</v>
      </c>
      <c r="AB66" s="8"/>
    </row>
    <row r="67" spans="1:28" s="4" customFormat="1" ht="51.95" customHeight="1">
      <c r="A67" s="5">
        <v>0</v>
      </c>
      <c r="B67" s="6" t="s">
        <v>513</v>
      </c>
      <c r="C67" s="7">
        <v>1560</v>
      </c>
      <c r="D67" s="8" t="s">
        <v>514</v>
      </c>
      <c r="E67" s="8" t="s">
        <v>515</v>
      </c>
      <c r="F67" s="8" t="s">
        <v>447</v>
      </c>
      <c r="G67" s="6" t="s">
        <v>90</v>
      </c>
      <c r="H67" s="6" t="s">
        <v>54</v>
      </c>
      <c r="I67" s="8" t="s">
        <v>40</v>
      </c>
      <c r="J67" s="9">
        <v>1</v>
      </c>
      <c r="K67" s="9">
        <v>286</v>
      </c>
      <c r="L67" s="9">
        <v>2025</v>
      </c>
      <c r="M67" s="8" t="s">
        <v>516</v>
      </c>
      <c r="N67" s="8" t="s">
        <v>125</v>
      </c>
      <c r="O67" s="8" t="s">
        <v>432</v>
      </c>
      <c r="P67" s="6" t="s">
        <v>58</v>
      </c>
      <c r="Q67" s="8" t="s">
        <v>45</v>
      </c>
      <c r="R67" s="10" t="s">
        <v>464</v>
      </c>
      <c r="S67" s="11" t="s">
        <v>517</v>
      </c>
      <c r="T67" s="6"/>
      <c r="U67" s="24" t="str">
        <f>HYPERLINK("https://media.infra-m.ru/2170/2170427/cover/2170427.jpg", "Обложка")</f>
        <v>Обложка</v>
      </c>
      <c r="V67" s="24" t="str">
        <f>HYPERLINK("https://znanium.ru/catalog/product/2170427", "Ознакомиться")</f>
        <v>Ознакомиться</v>
      </c>
      <c r="W67" s="8" t="s">
        <v>180</v>
      </c>
      <c r="X67" s="6" t="s">
        <v>518</v>
      </c>
      <c r="Y67" s="6" t="s">
        <v>30</v>
      </c>
      <c r="Z67" s="6"/>
      <c r="AA67" s="6" t="s">
        <v>519</v>
      </c>
      <c r="AB67" s="8"/>
    </row>
    <row r="68" spans="1:28" s="4" customFormat="1" ht="51.95" customHeight="1">
      <c r="A68" s="5">
        <v>0</v>
      </c>
      <c r="B68" s="6" t="s">
        <v>520</v>
      </c>
      <c r="C68" s="7">
        <v>1204</v>
      </c>
      <c r="D68" s="8" t="s">
        <v>521</v>
      </c>
      <c r="E68" s="8" t="s">
        <v>495</v>
      </c>
      <c r="F68" s="8" t="s">
        <v>522</v>
      </c>
      <c r="G68" s="6" t="s">
        <v>90</v>
      </c>
      <c r="H68" s="6" t="s">
        <v>54</v>
      </c>
      <c r="I68" s="8" t="s">
        <v>79</v>
      </c>
      <c r="J68" s="9">
        <v>1</v>
      </c>
      <c r="K68" s="9">
        <v>262</v>
      </c>
      <c r="L68" s="9">
        <v>2021</v>
      </c>
      <c r="M68" s="8" t="s">
        <v>523</v>
      </c>
      <c r="N68" s="8" t="s">
        <v>125</v>
      </c>
      <c r="O68" s="8" t="s">
        <v>432</v>
      </c>
      <c r="P68" s="6" t="s">
        <v>58</v>
      </c>
      <c r="Q68" s="8" t="s">
        <v>45</v>
      </c>
      <c r="R68" s="10" t="s">
        <v>464</v>
      </c>
      <c r="S68" s="11" t="s">
        <v>524</v>
      </c>
      <c r="T68" s="6"/>
      <c r="U68" s="24" t="str">
        <f>HYPERLINK("https://media.infra-m.ru/2116/2116167/cover/2116167.jpg", "Обложка")</f>
        <v>Обложка</v>
      </c>
      <c r="V68" s="24" t="str">
        <f>HYPERLINK("https://znanium.ru/catalog/product/2115758", "Ознакомиться")</f>
        <v>Ознакомиться</v>
      </c>
      <c r="W68" s="8" t="s">
        <v>82</v>
      </c>
      <c r="X68" s="6"/>
      <c r="Y68" s="6"/>
      <c r="Z68" s="6"/>
      <c r="AA68" s="6" t="s">
        <v>223</v>
      </c>
      <c r="AB68" s="8"/>
    </row>
    <row r="69" spans="1:28" s="4" customFormat="1" ht="51.95" customHeight="1">
      <c r="A69" s="5">
        <v>0</v>
      </c>
      <c r="B69" s="6" t="s">
        <v>525</v>
      </c>
      <c r="C69" s="7">
        <v>1944</v>
      </c>
      <c r="D69" s="8" t="s">
        <v>526</v>
      </c>
      <c r="E69" s="8" t="s">
        <v>527</v>
      </c>
      <c r="F69" s="8" t="s">
        <v>455</v>
      </c>
      <c r="G69" s="6" t="s">
        <v>90</v>
      </c>
      <c r="H69" s="6" t="s">
        <v>54</v>
      </c>
      <c r="I69" s="8" t="s">
        <v>40</v>
      </c>
      <c r="J69" s="9">
        <v>1</v>
      </c>
      <c r="K69" s="9">
        <v>378</v>
      </c>
      <c r="L69" s="9">
        <v>2025</v>
      </c>
      <c r="M69" s="8" t="s">
        <v>528</v>
      </c>
      <c r="N69" s="8" t="s">
        <v>125</v>
      </c>
      <c r="O69" s="8" t="s">
        <v>432</v>
      </c>
      <c r="P69" s="6" t="s">
        <v>58</v>
      </c>
      <c r="Q69" s="8" t="s">
        <v>45</v>
      </c>
      <c r="R69" s="10" t="s">
        <v>464</v>
      </c>
      <c r="S69" s="11" t="s">
        <v>517</v>
      </c>
      <c r="T69" s="6"/>
      <c r="U69" s="24" t="str">
        <f>HYPERLINK("https://media.infra-m.ru/2163/2163826/cover/2163826.jpg", "Обложка")</f>
        <v>Обложка</v>
      </c>
      <c r="V69" s="24" t="str">
        <f>HYPERLINK("https://znanium.ru/catalog/product/2170427", "Ознакомиться")</f>
        <v>Ознакомиться</v>
      </c>
      <c r="W69" s="8" t="s">
        <v>180</v>
      </c>
      <c r="X69" s="6"/>
      <c r="Y69" s="6" t="s">
        <v>30</v>
      </c>
      <c r="Z69" s="6"/>
      <c r="AA69" s="6" t="s">
        <v>529</v>
      </c>
      <c r="AB69" s="8"/>
    </row>
    <row r="70" spans="1:28" s="4" customFormat="1" ht="51.95" customHeight="1">
      <c r="A70" s="5">
        <v>0</v>
      </c>
      <c r="B70" s="6" t="s">
        <v>530</v>
      </c>
      <c r="C70" s="7">
        <v>1990</v>
      </c>
      <c r="D70" s="8" t="s">
        <v>531</v>
      </c>
      <c r="E70" s="8" t="s">
        <v>532</v>
      </c>
      <c r="F70" s="8" t="s">
        <v>533</v>
      </c>
      <c r="G70" s="6" t="s">
        <v>38</v>
      </c>
      <c r="H70" s="6" t="s">
        <v>54</v>
      </c>
      <c r="I70" s="8" t="s">
        <v>40</v>
      </c>
      <c r="J70" s="9">
        <v>1</v>
      </c>
      <c r="K70" s="9">
        <v>394</v>
      </c>
      <c r="L70" s="9">
        <v>2025</v>
      </c>
      <c r="M70" s="8" t="s">
        <v>534</v>
      </c>
      <c r="N70" s="8" t="s">
        <v>535</v>
      </c>
      <c r="O70" s="8" t="s">
        <v>536</v>
      </c>
      <c r="P70" s="6" t="s">
        <v>58</v>
      </c>
      <c r="Q70" s="8" t="s">
        <v>45</v>
      </c>
      <c r="R70" s="10" t="s">
        <v>537</v>
      </c>
      <c r="S70" s="11"/>
      <c r="T70" s="6"/>
      <c r="U70" s="24" t="str">
        <f>HYPERLINK("https://media.infra-m.ru/2169/2169779/cover/2169779.jpg", "Обложка")</f>
        <v>Обложка</v>
      </c>
      <c r="V70" s="24" t="str">
        <f>HYPERLINK("https://znanium.ru/catalog/product/2169779", "Ознакомиться")</f>
        <v>Ознакомиться</v>
      </c>
      <c r="W70" s="8" t="s">
        <v>538</v>
      </c>
      <c r="X70" s="6" t="s">
        <v>367</v>
      </c>
      <c r="Y70" s="6"/>
      <c r="Z70" s="6" t="s">
        <v>48</v>
      </c>
      <c r="AA70" s="6" t="s">
        <v>84</v>
      </c>
      <c r="AB70" s="8"/>
    </row>
    <row r="71" spans="1:28" s="4" customFormat="1" ht="51.95" customHeight="1">
      <c r="A71" s="5">
        <v>0</v>
      </c>
      <c r="B71" s="6" t="s">
        <v>539</v>
      </c>
      <c r="C71" s="7">
        <v>1940</v>
      </c>
      <c r="D71" s="8" t="s">
        <v>540</v>
      </c>
      <c r="E71" s="8" t="s">
        <v>541</v>
      </c>
      <c r="F71" s="8" t="s">
        <v>542</v>
      </c>
      <c r="G71" s="6" t="s">
        <v>90</v>
      </c>
      <c r="H71" s="6" t="s">
        <v>54</v>
      </c>
      <c r="I71" s="8" t="s">
        <v>40</v>
      </c>
      <c r="J71" s="9">
        <v>1</v>
      </c>
      <c r="K71" s="9">
        <v>352</v>
      </c>
      <c r="L71" s="9">
        <v>2026</v>
      </c>
      <c r="M71" s="8" t="s">
        <v>543</v>
      </c>
      <c r="N71" s="8" t="s">
        <v>535</v>
      </c>
      <c r="O71" s="8" t="s">
        <v>544</v>
      </c>
      <c r="P71" s="6" t="s">
        <v>58</v>
      </c>
      <c r="Q71" s="8" t="s">
        <v>45</v>
      </c>
      <c r="R71" s="10" t="s">
        <v>545</v>
      </c>
      <c r="S71" s="11" t="s">
        <v>546</v>
      </c>
      <c r="T71" s="6"/>
      <c r="U71" s="24" t="str">
        <f>HYPERLINK("https://media.infra-m.ru/2227/2227071/cover/2227071.jpg", "Обложка")</f>
        <v>Обложка</v>
      </c>
      <c r="V71" s="24" t="str">
        <f>HYPERLINK("https://znanium.ru/catalog/product/2227071", "Ознакомиться")</f>
        <v>Ознакомиться</v>
      </c>
      <c r="W71" s="8" t="s">
        <v>547</v>
      </c>
      <c r="X71" s="6"/>
      <c r="Y71" s="6"/>
      <c r="Z71" s="6" t="s">
        <v>48</v>
      </c>
      <c r="AA71" s="6" t="s">
        <v>111</v>
      </c>
      <c r="AB71" s="8"/>
    </row>
    <row r="72" spans="1:28" s="4" customFormat="1" ht="51.95" customHeight="1">
      <c r="A72" s="5">
        <v>0</v>
      </c>
      <c r="B72" s="6" t="s">
        <v>548</v>
      </c>
      <c r="C72" s="13">
        <v>980</v>
      </c>
      <c r="D72" s="8" t="s">
        <v>549</v>
      </c>
      <c r="E72" s="8" t="s">
        <v>550</v>
      </c>
      <c r="F72" s="8" t="s">
        <v>551</v>
      </c>
      <c r="G72" s="6" t="s">
        <v>90</v>
      </c>
      <c r="H72" s="6" t="s">
        <v>54</v>
      </c>
      <c r="I72" s="8" t="s">
        <v>40</v>
      </c>
      <c r="J72" s="9">
        <v>1</v>
      </c>
      <c r="K72" s="9">
        <v>178</v>
      </c>
      <c r="L72" s="9">
        <v>2026</v>
      </c>
      <c r="M72" s="8" t="s">
        <v>552</v>
      </c>
      <c r="N72" s="8" t="s">
        <v>42</v>
      </c>
      <c r="O72" s="8" t="s">
        <v>553</v>
      </c>
      <c r="P72" s="6" t="s">
        <v>58</v>
      </c>
      <c r="Q72" s="8" t="s">
        <v>45</v>
      </c>
      <c r="R72" s="10" t="s">
        <v>554</v>
      </c>
      <c r="S72" s="11" t="s">
        <v>555</v>
      </c>
      <c r="T72" s="6"/>
      <c r="U72" s="24" t="str">
        <f>HYPERLINK("https://media.infra-m.ru/2217/2217049/cover/2217049.jpg", "Обложка")</f>
        <v>Обложка</v>
      </c>
      <c r="V72" s="24" t="str">
        <f>HYPERLINK("https://znanium.ru/catalog/product/2217049", "Ознакомиться")</f>
        <v>Ознакомиться</v>
      </c>
      <c r="W72" s="8" t="s">
        <v>47</v>
      </c>
      <c r="X72" s="6"/>
      <c r="Y72" s="6"/>
      <c r="Z72" s="6" t="s">
        <v>48</v>
      </c>
      <c r="AA72" s="6" t="s">
        <v>129</v>
      </c>
      <c r="AB72" s="8"/>
    </row>
    <row r="73" spans="1:28" s="4" customFormat="1" ht="51.95" customHeight="1">
      <c r="A73" s="5">
        <v>0</v>
      </c>
      <c r="B73" s="6" t="s">
        <v>556</v>
      </c>
      <c r="C73" s="7">
        <v>1520</v>
      </c>
      <c r="D73" s="8" t="s">
        <v>557</v>
      </c>
      <c r="E73" s="8" t="s">
        <v>558</v>
      </c>
      <c r="F73" s="8" t="s">
        <v>559</v>
      </c>
      <c r="G73" s="6" t="s">
        <v>90</v>
      </c>
      <c r="H73" s="6" t="s">
        <v>54</v>
      </c>
      <c r="I73" s="8" t="s">
        <v>40</v>
      </c>
      <c r="J73" s="9">
        <v>1</v>
      </c>
      <c r="K73" s="9">
        <v>330</v>
      </c>
      <c r="L73" s="9">
        <v>2024</v>
      </c>
      <c r="M73" s="8" t="s">
        <v>560</v>
      </c>
      <c r="N73" s="8" t="s">
        <v>42</v>
      </c>
      <c r="O73" s="8" t="s">
        <v>319</v>
      </c>
      <c r="P73" s="6" t="s">
        <v>44</v>
      </c>
      <c r="Q73" s="8" t="s">
        <v>45</v>
      </c>
      <c r="R73" s="10" t="s">
        <v>561</v>
      </c>
      <c r="S73" s="11" t="s">
        <v>562</v>
      </c>
      <c r="T73" s="6" t="s">
        <v>118</v>
      </c>
      <c r="U73" s="24" t="str">
        <f>HYPERLINK("https://media.infra-m.ru/2110/2110935/cover/2110935.jpg", "Обложка")</f>
        <v>Обложка</v>
      </c>
      <c r="V73" s="24" t="str">
        <f>HYPERLINK("https://znanium.ru/catalog/product/2110935", "Ознакомиться")</f>
        <v>Ознакомиться</v>
      </c>
      <c r="W73" s="8" t="s">
        <v>547</v>
      </c>
      <c r="X73" s="6"/>
      <c r="Y73" s="6"/>
      <c r="Z73" s="6" t="s">
        <v>48</v>
      </c>
      <c r="AA73" s="6" t="s">
        <v>563</v>
      </c>
      <c r="AB73" s="8"/>
    </row>
    <row r="74" spans="1:28" s="4" customFormat="1" ht="51.95" customHeight="1">
      <c r="A74" s="5">
        <v>0</v>
      </c>
      <c r="B74" s="6" t="s">
        <v>564</v>
      </c>
      <c r="C74" s="7">
        <v>3124</v>
      </c>
      <c r="D74" s="8" t="s">
        <v>565</v>
      </c>
      <c r="E74" s="8" t="s">
        <v>566</v>
      </c>
      <c r="F74" s="8" t="s">
        <v>567</v>
      </c>
      <c r="G74" s="6" t="s">
        <v>90</v>
      </c>
      <c r="H74" s="6" t="s">
        <v>54</v>
      </c>
      <c r="I74" s="8" t="s">
        <v>568</v>
      </c>
      <c r="J74" s="9">
        <v>1</v>
      </c>
      <c r="K74" s="9">
        <v>600</v>
      </c>
      <c r="L74" s="9">
        <v>2025</v>
      </c>
      <c r="M74" s="8" t="s">
        <v>569</v>
      </c>
      <c r="N74" s="8" t="s">
        <v>42</v>
      </c>
      <c r="O74" s="8" t="s">
        <v>319</v>
      </c>
      <c r="P74" s="6" t="s">
        <v>58</v>
      </c>
      <c r="Q74" s="8" t="s">
        <v>45</v>
      </c>
      <c r="R74" s="10" t="s">
        <v>570</v>
      </c>
      <c r="S74" s="11" t="s">
        <v>571</v>
      </c>
      <c r="T74" s="6" t="s">
        <v>118</v>
      </c>
      <c r="U74" s="24" t="str">
        <f>HYPERLINK("https://media.infra-m.ru/2211/2211201/cover/2211201.jpg", "Обложка")</f>
        <v>Обложка</v>
      </c>
      <c r="V74" s="24" t="str">
        <f>HYPERLINK("https://znanium.ru/catalog/product/2210556", "Ознакомиться")</f>
        <v>Ознакомиться</v>
      </c>
      <c r="W74" s="8" t="s">
        <v>572</v>
      </c>
      <c r="X74" s="6"/>
      <c r="Y74" s="6"/>
      <c r="Z74" s="6"/>
      <c r="AA74" s="6" t="s">
        <v>573</v>
      </c>
      <c r="AB74" s="8"/>
    </row>
    <row r="75" spans="1:28" s="4" customFormat="1" ht="51.95" customHeight="1">
      <c r="A75" s="5">
        <v>0</v>
      </c>
      <c r="B75" s="6" t="s">
        <v>574</v>
      </c>
      <c r="C75" s="7">
        <v>2210</v>
      </c>
      <c r="D75" s="8" t="s">
        <v>575</v>
      </c>
      <c r="E75" s="8" t="s">
        <v>576</v>
      </c>
      <c r="F75" s="8" t="s">
        <v>577</v>
      </c>
      <c r="G75" s="6" t="s">
        <v>38</v>
      </c>
      <c r="H75" s="6" t="s">
        <v>54</v>
      </c>
      <c r="I75" s="8" t="s">
        <v>40</v>
      </c>
      <c r="J75" s="9">
        <v>1</v>
      </c>
      <c r="K75" s="9">
        <v>424</v>
      </c>
      <c r="L75" s="9">
        <v>2026</v>
      </c>
      <c r="M75" s="8" t="s">
        <v>578</v>
      </c>
      <c r="N75" s="8" t="s">
        <v>42</v>
      </c>
      <c r="O75" s="8" t="s">
        <v>553</v>
      </c>
      <c r="P75" s="6" t="s">
        <v>58</v>
      </c>
      <c r="Q75" s="8" t="s">
        <v>45</v>
      </c>
      <c r="R75" s="10" t="s">
        <v>579</v>
      </c>
      <c r="S75" s="11"/>
      <c r="T75" s="6"/>
      <c r="U75" s="24" t="str">
        <f>HYPERLINK("https://media.infra-m.ru/2216/2216051/cover/2216051.jpg", "Обложка")</f>
        <v>Обложка</v>
      </c>
      <c r="V75" s="24" t="str">
        <f>HYPERLINK("https://znanium.ru/catalog/product/2216051", "Ознакомиться")</f>
        <v>Ознакомиться</v>
      </c>
      <c r="W75" s="8" t="s">
        <v>580</v>
      </c>
      <c r="X75" s="6"/>
      <c r="Y75" s="6"/>
      <c r="Z75" s="6"/>
      <c r="AA75" s="6" t="s">
        <v>354</v>
      </c>
      <c r="AB75" s="8" t="s">
        <v>232</v>
      </c>
    </row>
    <row r="76" spans="1:28" s="4" customFormat="1" ht="42" customHeight="1">
      <c r="A76" s="5">
        <v>0</v>
      </c>
      <c r="B76" s="6" t="s">
        <v>581</v>
      </c>
      <c r="C76" s="7">
        <v>1994</v>
      </c>
      <c r="D76" s="8" t="s">
        <v>582</v>
      </c>
      <c r="E76" s="8" t="s">
        <v>583</v>
      </c>
      <c r="F76" s="8" t="s">
        <v>99</v>
      </c>
      <c r="G76" s="6" t="s">
        <v>38</v>
      </c>
      <c r="H76" s="6" t="s">
        <v>54</v>
      </c>
      <c r="I76" s="8" t="s">
        <v>40</v>
      </c>
      <c r="J76" s="9">
        <v>1</v>
      </c>
      <c r="K76" s="9">
        <v>379</v>
      </c>
      <c r="L76" s="9">
        <v>2026</v>
      </c>
      <c r="M76" s="8" t="s">
        <v>584</v>
      </c>
      <c r="N76" s="8" t="s">
        <v>56</v>
      </c>
      <c r="O76" s="8" t="s">
        <v>57</v>
      </c>
      <c r="P76" s="6" t="s">
        <v>58</v>
      </c>
      <c r="Q76" s="8" t="s">
        <v>45</v>
      </c>
      <c r="R76" s="10" t="s">
        <v>585</v>
      </c>
      <c r="S76" s="11"/>
      <c r="T76" s="6"/>
      <c r="U76" s="24" t="str">
        <f>HYPERLINK("https://media.infra-m.ru/2220/2220881/cover/2220881.jpg", "Обложка")</f>
        <v>Обложка</v>
      </c>
      <c r="V76" s="24" t="str">
        <f>HYPERLINK("https://znanium.ru/catalog/product/1906109", "Ознакомиться")</f>
        <v>Ознакомиться</v>
      </c>
      <c r="W76" s="8" t="s">
        <v>82</v>
      </c>
      <c r="X76" s="6"/>
      <c r="Y76" s="6"/>
      <c r="Z76" s="6"/>
      <c r="AA76" s="6" t="s">
        <v>354</v>
      </c>
      <c r="AB76" s="8"/>
    </row>
    <row r="77" spans="1:28" s="4" customFormat="1" ht="51.95" customHeight="1">
      <c r="A77" s="5">
        <v>0</v>
      </c>
      <c r="B77" s="6" t="s">
        <v>586</v>
      </c>
      <c r="C77" s="7">
        <v>1150</v>
      </c>
      <c r="D77" s="8" t="s">
        <v>587</v>
      </c>
      <c r="E77" s="8" t="s">
        <v>588</v>
      </c>
      <c r="F77" s="8" t="s">
        <v>589</v>
      </c>
      <c r="G77" s="6" t="s">
        <v>90</v>
      </c>
      <c r="H77" s="6" t="s">
        <v>134</v>
      </c>
      <c r="I77" s="8" t="s">
        <v>40</v>
      </c>
      <c r="J77" s="9">
        <v>1</v>
      </c>
      <c r="K77" s="9">
        <v>224</v>
      </c>
      <c r="L77" s="9">
        <v>2025</v>
      </c>
      <c r="M77" s="8" t="s">
        <v>590</v>
      </c>
      <c r="N77" s="8" t="s">
        <v>56</v>
      </c>
      <c r="O77" s="8" t="s">
        <v>57</v>
      </c>
      <c r="P77" s="6" t="s">
        <v>44</v>
      </c>
      <c r="Q77" s="8" t="s">
        <v>45</v>
      </c>
      <c r="R77" s="10" t="s">
        <v>591</v>
      </c>
      <c r="S77" s="11" t="s">
        <v>592</v>
      </c>
      <c r="T77" s="6"/>
      <c r="U77" s="24" t="str">
        <f>HYPERLINK("https://media.infra-m.ru/2171/2171961/cover/2171961.jpg", "Обложка")</f>
        <v>Обложка</v>
      </c>
      <c r="V77" s="24" t="str">
        <f>HYPERLINK("https://znanium.ru/catalog/product/2171961", "Ознакомиться")</f>
        <v>Ознакомиться</v>
      </c>
      <c r="W77" s="8" t="s">
        <v>593</v>
      </c>
      <c r="X77" s="6"/>
      <c r="Y77" s="6"/>
      <c r="Z77" s="6" t="s">
        <v>48</v>
      </c>
      <c r="AA77" s="6" t="s">
        <v>111</v>
      </c>
      <c r="AB77" s="8"/>
    </row>
    <row r="78" spans="1:28" s="4" customFormat="1" ht="51.95" customHeight="1">
      <c r="A78" s="5">
        <v>0</v>
      </c>
      <c r="B78" s="6" t="s">
        <v>594</v>
      </c>
      <c r="C78" s="13">
        <v>850</v>
      </c>
      <c r="D78" s="8" t="s">
        <v>595</v>
      </c>
      <c r="E78" s="8" t="s">
        <v>596</v>
      </c>
      <c r="F78" s="8" t="s">
        <v>597</v>
      </c>
      <c r="G78" s="6" t="s">
        <v>90</v>
      </c>
      <c r="H78" s="6" t="s">
        <v>68</v>
      </c>
      <c r="I78" s="8" t="s">
        <v>69</v>
      </c>
      <c r="J78" s="9">
        <v>1</v>
      </c>
      <c r="K78" s="9">
        <v>132</v>
      </c>
      <c r="L78" s="9">
        <v>2025</v>
      </c>
      <c r="M78" s="8" t="s">
        <v>598</v>
      </c>
      <c r="N78" s="8" t="s">
        <v>56</v>
      </c>
      <c r="O78" s="8" t="s">
        <v>57</v>
      </c>
      <c r="P78" s="6" t="s">
        <v>58</v>
      </c>
      <c r="Q78" s="8" t="s">
        <v>45</v>
      </c>
      <c r="R78" s="10" t="s">
        <v>599</v>
      </c>
      <c r="S78" s="11"/>
      <c r="T78" s="6"/>
      <c r="U78" s="24" t="str">
        <f>HYPERLINK("https://media.infra-m.ru/2207/2207905/cover/2207905.jpg", "Обложка")</f>
        <v>Обложка</v>
      </c>
      <c r="V78" s="24" t="str">
        <f>HYPERLINK("https://znanium.ru/catalog/product/2207905", "Ознакомиться")</f>
        <v>Ознакомиться</v>
      </c>
      <c r="W78" s="8" t="s">
        <v>600</v>
      </c>
      <c r="X78" s="6"/>
      <c r="Y78" s="6" t="s">
        <v>30</v>
      </c>
      <c r="Z78" s="6"/>
      <c r="AA78" s="6" t="s">
        <v>111</v>
      </c>
      <c r="AB78" s="8"/>
    </row>
    <row r="79" spans="1:28" s="4" customFormat="1" ht="51.95" customHeight="1">
      <c r="A79" s="5">
        <v>0</v>
      </c>
      <c r="B79" s="6" t="s">
        <v>601</v>
      </c>
      <c r="C79" s="7">
        <v>1030</v>
      </c>
      <c r="D79" s="8" t="s">
        <v>602</v>
      </c>
      <c r="E79" s="8" t="s">
        <v>603</v>
      </c>
      <c r="F79" s="8" t="s">
        <v>604</v>
      </c>
      <c r="G79" s="6" t="s">
        <v>90</v>
      </c>
      <c r="H79" s="6" t="s">
        <v>54</v>
      </c>
      <c r="I79" s="8" t="s">
        <v>40</v>
      </c>
      <c r="J79" s="9">
        <v>1</v>
      </c>
      <c r="K79" s="9">
        <v>223</v>
      </c>
      <c r="L79" s="9">
        <v>2024</v>
      </c>
      <c r="M79" s="8" t="s">
        <v>605</v>
      </c>
      <c r="N79" s="8" t="s">
        <v>56</v>
      </c>
      <c r="O79" s="8" t="s">
        <v>57</v>
      </c>
      <c r="P79" s="6" t="s">
        <v>44</v>
      </c>
      <c r="Q79" s="8" t="s">
        <v>45</v>
      </c>
      <c r="R79" s="10" t="s">
        <v>606</v>
      </c>
      <c r="S79" s="11" t="s">
        <v>607</v>
      </c>
      <c r="T79" s="6"/>
      <c r="U79" s="24" t="str">
        <f>HYPERLINK("https://media.infra-m.ru/2131/2131530/cover/2131530.jpg", "Обложка")</f>
        <v>Обложка</v>
      </c>
      <c r="V79" s="24" t="str">
        <f>HYPERLINK("https://znanium.ru/catalog/product/2131530", "Ознакомиться")</f>
        <v>Ознакомиться</v>
      </c>
      <c r="W79" s="8" t="s">
        <v>608</v>
      </c>
      <c r="X79" s="6"/>
      <c r="Y79" s="6" t="s">
        <v>30</v>
      </c>
      <c r="Z79" s="6" t="s">
        <v>48</v>
      </c>
      <c r="AA79" s="6" t="s">
        <v>111</v>
      </c>
      <c r="AB79" s="8"/>
    </row>
    <row r="80" spans="1:28" s="4" customFormat="1" ht="51.95" customHeight="1">
      <c r="A80" s="5">
        <v>0</v>
      </c>
      <c r="B80" s="6" t="s">
        <v>609</v>
      </c>
      <c r="C80" s="7">
        <v>1140</v>
      </c>
      <c r="D80" s="8" t="s">
        <v>610</v>
      </c>
      <c r="E80" s="8" t="s">
        <v>611</v>
      </c>
      <c r="F80" s="8" t="s">
        <v>612</v>
      </c>
      <c r="G80" s="6" t="s">
        <v>90</v>
      </c>
      <c r="H80" s="6" t="s">
        <v>359</v>
      </c>
      <c r="I80" s="8" t="s">
        <v>40</v>
      </c>
      <c r="J80" s="9">
        <v>1</v>
      </c>
      <c r="K80" s="9">
        <v>208</v>
      </c>
      <c r="L80" s="9">
        <v>2026</v>
      </c>
      <c r="M80" s="8" t="s">
        <v>613</v>
      </c>
      <c r="N80" s="8" t="s">
        <v>56</v>
      </c>
      <c r="O80" s="8" t="s">
        <v>57</v>
      </c>
      <c r="P80" s="6" t="s">
        <v>58</v>
      </c>
      <c r="Q80" s="8" t="s">
        <v>45</v>
      </c>
      <c r="R80" s="10" t="s">
        <v>108</v>
      </c>
      <c r="S80" s="11" t="s">
        <v>614</v>
      </c>
      <c r="T80" s="6"/>
      <c r="U80" s="24" t="str">
        <f>HYPERLINK("https://media.infra-m.ru/2223/2223482/cover/2223482.jpg", "Обложка")</f>
        <v>Обложка</v>
      </c>
      <c r="V80" s="24" t="str">
        <f>HYPERLINK("https://znanium.ru/catalog/product/2037340", "Ознакомиться")</f>
        <v>Ознакомиться</v>
      </c>
      <c r="W80" s="8"/>
      <c r="X80" s="6"/>
      <c r="Y80" s="6"/>
      <c r="Z80" s="6" t="s">
        <v>48</v>
      </c>
      <c r="AA80" s="6" t="s">
        <v>129</v>
      </c>
      <c r="AB80" s="8"/>
    </row>
    <row r="81" spans="1:28" s="4" customFormat="1" ht="51.95" customHeight="1">
      <c r="A81" s="5">
        <v>0</v>
      </c>
      <c r="B81" s="6" t="s">
        <v>615</v>
      </c>
      <c r="C81" s="7">
        <v>2534</v>
      </c>
      <c r="D81" s="8" t="s">
        <v>616</v>
      </c>
      <c r="E81" s="8" t="s">
        <v>617</v>
      </c>
      <c r="F81" s="8" t="s">
        <v>99</v>
      </c>
      <c r="G81" s="6" t="s">
        <v>38</v>
      </c>
      <c r="H81" s="6" t="s">
        <v>54</v>
      </c>
      <c r="I81" s="8" t="s">
        <v>79</v>
      </c>
      <c r="J81" s="9">
        <v>1</v>
      </c>
      <c r="K81" s="9">
        <v>460</v>
      </c>
      <c r="L81" s="9">
        <v>2026</v>
      </c>
      <c r="M81" s="8" t="s">
        <v>618</v>
      </c>
      <c r="N81" s="8" t="s">
        <v>56</v>
      </c>
      <c r="O81" s="8" t="s">
        <v>57</v>
      </c>
      <c r="P81" s="6" t="s">
        <v>58</v>
      </c>
      <c r="Q81" s="8" t="s">
        <v>45</v>
      </c>
      <c r="R81" s="10" t="s">
        <v>619</v>
      </c>
      <c r="S81" s="11"/>
      <c r="T81" s="6"/>
      <c r="U81" s="24" t="str">
        <f>HYPERLINK("https://media.infra-m.ru/2224/2224100/cover/2224100.jpg", "Обложка")</f>
        <v>Обложка</v>
      </c>
      <c r="V81" s="24" t="str">
        <f>HYPERLINK("https://znanium.ru/catalog/product/2212363", "Ознакомиться")</f>
        <v>Ознакомиться</v>
      </c>
      <c r="W81" s="8" t="s">
        <v>82</v>
      </c>
      <c r="X81" s="6"/>
      <c r="Y81" s="6"/>
      <c r="Z81" s="6"/>
      <c r="AA81" s="6" t="s">
        <v>354</v>
      </c>
      <c r="AB81" s="8"/>
    </row>
    <row r="82" spans="1:28" s="4" customFormat="1" ht="51.95" customHeight="1">
      <c r="A82" s="5">
        <v>0</v>
      </c>
      <c r="B82" s="6" t="s">
        <v>620</v>
      </c>
      <c r="C82" s="7">
        <v>1020</v>
      </c>
      <c r="D82" s="8" t="s">
        <v>621</v>
      </c>
      <c r="E82" s="8" t="s">
        <v>622</v>
      </c>
      <c r="F82" s="8" t="s">
        <v>623</v>
      </c>
      <c r="G82" s="6" t="s">
        <v>90</v>
      </c>
      <c r="H82" s="6" t="s">
        <v>54</v>
      </c>
      <c r="I82" s="8" t="s">
        <v>40</v>
      </c>
      <c r="J82" s="9">
        <v>1</v>
      </c>
      <c r="K82" s="9">
        <v>190</v>
      </c>
      <c r="L82" s="9">
        <v>2026</v>
      </c>
      <c r="M82" s="8" t="s">
        <v>624</v>
      </c>
      <c r="N82" s="8" t="s">
        <v>56</v>
      </c>
      <c r="O82" s="8" t="s">
        <v>57</v>
      </c>
      <c r="P82" s="6" t="s">
        <v>44</v>
      </c>
      <c r="Q82" s="8" t="s">
        <v>45</v>
      </c>
      <c r="R82" s="10" t="s">
        <v>625</v>
      </c>
      <c r="S82" s="11" t="s">
        <v>626</v>
      </c>
      <c r="T82" s="6"/>
      <c r="U82" s="24" t="str">
        <f>HYPERLINK("https://media.infra-m.ru/2220/2220968/cover/2220968.jpg", "Обложка")</f>
        <v>Обложка</v>
      </c>
      <c r="V82" s="24" t="str">
        <f>HYPERLINK("https://znanium.ru/catalog/product/2220968", "Ознакомиться")</f>
        <v>Ознакомиться</v>
      </c>
      <c r="W82" s="8" t="s">
        <v>627</v>
      </c>
      <c r="X82" s="6"/>
      <c r="Y82" s="6" t="s">
        <v>30</v>
      </c>
      <c r="Z82" s="6"/>
      <c r="AA82" s="6" t="s">
        <v>74</v>
      </c>
      <c r="AB82" s="8"/>
    </row>
    <row r="83" spans="1:28" s="4" customFormat="1" ht="42" customHeight="1">
      <c r="A83" s="5">
        <v>0</v>
      </c>
      <c r="B83" s="6" t="s">
        <v>628</v>
      </c>
      <c r="C83" s="7">
        <v>2070</v>
      </c>
      <c r="D83" s="8" t="s">
        <v>629</v>
      </c>
      <c r="E83" s="8" t="s">
        <v>630</v>
      </c>
      <c r="F83" s="8" t="s">
        <v>99</v>
      </c>
      <c r="G83" s="6" t="s">
        <v>38</v>
      </c>
      <c r="H83" s="6" t="s">
        <v>54</v>
      </c>
      <c r="I83" s="8" t="s">
        <v>79</v>
      </c>
      <c r="J83" s="9">
        <v>1</v>
      </c>
      <c r="K83" s="9">
        <v>395</v>
      </c>
      <c r="L83" s="9">
        <v>2025</v>
      </c>
      <c r="M83" s="8" t="s">
        <v>631</v>
      </c>
      <c r="N83" s="8" t="s">
        <v>56</v>
      </c>
      <c r="O83" s="8" t="s">
        <v>57</v>
      </c>
      <c r="P83" s="6" t="s">
        <v>58</v>
      </c>
      <c r="Q83" s="8" t="s">
        <v>45</v>
      </c>
      <c r="R83" s="10" t="s">
        <v>632</v>
      </c>
      <c r="S83" s="11"/>
      <c r="T83" s="6"/>
      <c r="U83" s="24" t="str">
        <f>HYPERLINK("https://media.infra-m.ru/2165/2165400/cover/2165400.jpg", "Обложка")</f>
        <v>Обложка</v>
      </c>
      <c r="V83" s="24" t="str">
        <f>HYPERLINK("https://znanium.ru/catalog/product/2165400", "Ознакомиться")</f>
        <v>Ознакомиться</v>
      </c>
      <c r="W83" s="8" t="s">
        <v>82</v>
      </c>
      <c r="X83" s="6" t="s">
        <v>83</v>
      </c>
      <c r="Y83" s="6"/>
      <c r="Z83" s="6"/>
      <c r="AA83" s="6" t="s">
        <v>84</v>
      </c>
      <c r="AB83" s="8" t="s">
        <v>85</v>
      </c>
    </row>
    <row r="84" spans="1:28" s="4" customFormat="1" ht="42" customHeight="1">
      <c r="A84" s="5">
        <v>0</v>
      </c>
      <c r="B84" s="6" t="s">
        <v>633</v>
      </c>
      <c r="C84" s="7">
        <v>2120</v>
      </c>
      <c r="D84" s="8" t="s">
        <v>634</v>
      </c>
      <c r="E84" s="8" t="s">
        <v>635</v>
      </c>
      <c r="F84" s="8" t="s">
        <v>99</v>
      </c>
      <c r="G84" s="6" t="s">
        <v>38</v>
      </c>
      <c r="H84" s="6" t="s">
        <v>54</v>
      </c>
      <c r="I84" s="8" t="s">
        <v>79</v>
      </c>
      <c r="J84" s="9">
        <v>1</v>
      </c>
      <c r="K84" s="9">
        <v>399</v>
      </c>
      <c r="L84" s="9">
        <v>2025</v>
      </c>
      <c r="M84" s="8" t="s">
        <v>636</v>
      </c>
      <c r="N84" s="8" t="s">
        <v>56</v>
      </c>
      <c r="O84" s="8" t="s">
        <v>57</v>
      </c>
      <c r="P84" s="6" t="s">
        <v>58</v>
      </c>
      <c r="Q84" s="8" t="s">
        <v>45</v>
      </c>
      <c r="R84" s="10" t="s">
        <v>637</v>
      </c>
      <c r="S84" s="11"/>
      <c r="T84" s="6"/>
      <c r="U84" s="24" t="str">
        <f>HYPERLINK("https://media.infra-m.ru/2162/2162082/cover/2162082.jpg", "Обложка")</f>
        <v>Обложка</v>
      </c>
      <c r="V84" s="24" t="str">
        <f>HYPERLINK("https://znanium.ru/catalog/product/2162082", "Ознакомиться")</f>
        <v>Ознакомиться</v>
      </c>
      <c r="W84" s="8" t="s">
        <v>82</v>
      </c>
      <c r="X84" s="6" t="s">
        <v>83</v>
      </c>
      <c r="Y84" s="6"/>
      <c r="Z84" s="6"/>
      <c r="AA84" s="6" t="s">
        <v>84</v>
      </c>
      <c r="AB84" s="8" t="s">
        <v>85</v>
      </c>
    </row>
    <row r="85" spans="1:28" s="4" customFormat="1" ht="42" customHeight="1">
      <c r="A85" s="5">
        <v>0</v>
      </c>
      <c r="B85" s="6" t="s">
        <v>638</v>
      </c>
      <c r="C85" s="7">
        <v>2020</v>
      </c>
      <c r="D85" s="8" t="s">
        <v>639</v>
      </c>
      <c r="E85" s="8" t="s">
        <v>640</v>
      </c>
      <c r="F85" s="8" t="s">
        <v>99</v>
      </c>
      <c r="G85" s="6" t="s">
        <v>38</v>
      </c>
      <c r="H85" s="6" t="s">
        <v>54</v>
      </c>
      <c r="I85" s="8" t="s">
        <v>79</v>
      </c>
      <c r="J85" s="9">
        <v>1</v>
      </c>
      <c r="K85" s="9">
        <v>403</v>
      </c>
      <c r="L85" s="9">
        <v>2025</v>
      </c>
      <c r="M85" s="8" t="s">
        <v>641</v>
      </c>
      <c r="N85" s="8" t="s">
        <v>56</v>
      </c>
      <c r="O85" s="8" t="s">
        <v>57</v>
      </c>
      <c r="P85" s="6" t="s">
        <v>58</v>
      </c>
      <c r="Q85" s="8" t="s">
        <v>45</v>
      </c>
      <c r="R85" s="10" t="s">
        <v>642</v>
      </c>
      <c r="S85" s="11"/>
      <c r="T85" s="6"/>
      <c r="U85" s="24" t="str">
        <f>HYPERLINK("https://media.infra-m.ru/2160/2160990/cover/2160990.jpg", "Обложка")</f>
        <v>Обложка</v>
      </c>
      <c r="V85" s="24" t="str">
        <f>HYPERLINK("https://znanium.ru/catalog/product/2160990", "Ознакомиться")</f>
        <v>Ознакомиться</v>
      </c>
      <c r="W85" s="8" t="s">
        <v>82</v>
      </c>
      <c r="X85" s="6" t="s">
        <v>367</v>
      </c>
      <c r="Y85" s="6"/>
      <c r="Z85" s="6"/>
      <c r="AA85" s="6" t="s">
        <v>84</v>
      </c>
      <c r="AB85" s="8"/>
    </row>
    <row r="86" spans="1:28" s="4" customFormat="1" ht="51.95" customHeight="1">
      <c r="A86" s="5">
        <v>0</v>
      </c>
      <c r="B86" s="6" t="s">
        <v>643</v>
      </c>
      <c r="C86" s="7">
        <v>1370</v>
      </c>
      <c r="D86" s="8" t="s">
        <v>644</v>
      </c>
      <c r="E86" s="8" t="s">
        <v>645</v>
      </c>
      <c r="F86" s="8" t="s">
        <v>99</v>
      </c>
      <c r="G86" s="6" t="s">
        <v>38</v>
      </c>
      <c r="H86" s="6" t="s">
        <v>54</v>
      </c>
      <c r="I86" s="8" t="s">
        <v>40</v>
      </c>
      <c r="J86" s="9">
        <v>1</v>
      </c>
      <c r="K86" s="9">
        <v>283</v>
      </c>
      <c r="L86" s="9">
        <v>2024</v>
      </c>
      <c r="M86" s="8" t="s">
        <v>646</v>
      </c>
      <c r="N86" s="8" t="s">
        <v>56</v>
      </c>
      <c r="O86" s="8" t="s">
        <v>57</v>
      </c>
      <c r="P86" s="6" t="s">
        <v>58</v>
      </c>
      <c r="Q86" s="8" t="s">
        <v>45</v>
      </c>
      <c r="R86" s="10" t="s">
        <v>647</v>
      </c>
      <c r="S86" s="11"/>
      <c r="T86" s="6"/>
      <c r="U86" s="24" t="str">
        <f>HYPERLINK("https://media.infra-m.ru/1908/1908966/cover/1908966.jpg", "Обложка")</f>
        <v>Обложка</v>
      </c>
      <c r="V86" s="24" t="str">
        <f>HYPERLINK("https://znanium.ru/catalog/product/1908966", "Ознакомиться")</f>
        <v>Ознакомиться</v>
      </c>
      <c r="W86" s="8" t="s">
        <v>82</v>
      </c>
      <c r="X86" s="6"/>
      <c r="Y86" s="6"/>
      <c r="Z86" s="6"/>
      <c r="AA86" s="6" t="s">
        <v>354</v>
      </c>
      <c r="AB86" s="8" t="s">
        <v>648</v>
      </c>
    </row>
    <row r="87" spans="1:28" s="4" customFormat="1" ht="51.95" customHeight="1">
      <c r="A87" s="5">
        <v>0</v>
      </c>
      <c r="B87" s="6" t="s">
        <v>649</v>
      </c>
      <c r="C87" s="7">
        <v>1970</v>
      </c>
      <c r="D87" s="8" t="s">
        <v>650</v>
      </c>
      <c r="E87" s="8" t="s">
        <v>651</v>
      </c>
      <c r="F87" s="8" t="s">
        <v>99</v>
      </c>
      <c r="G87" s="6" t="s">
        <v>90</v>
      </c>
      <c r="H87" s="6" t="s">
        <v>54</v>
      </c>
      <c r="I87" s="8" t="s">
        <v>79</v>
      </c>
      <c r="J87" s="9">
        <v>1</v>
      </c>
      <c r="K87" s="9">
        <v>358</v>
      </c>
      <c r="L87" s="9">
        <v>2026</v>
      </c>
      <c r="M87" s="8" t="s">
        <v>652</v>
      </c>
      <c r="N87" s="8" t="s">
        <v>56</v>
      </c>
      <c r="O87" s="8" t="s">
        <v>57</v>
      </c>
      <c r="P87" s="6" t="s">
        <v>58</v>
      </c>
      <c r="Q87" s="8" t="s">
        <v>45</v>
      </c>
      <c r="R87" s="10" t="s">
        <v>653</v>
      </c>
      <c r="S87" s="11" t="s">
        <v>654</v>
      </c>
      <c r="T87" s="6"/>
      <c r="U87" s="24" t="str">
        <f>HYPERLINK("https://media.infra-m.ru/2226/2226465/cover/2226465.jpg", "Обложка")</f>
        <v>Обложка</v>
      </c>
      <c r="V87" s="24" t="str">
        <f>HYPERLINK("https://znanium.ru/catalog/product/2226465", "Ознакомиться")</f>
        <v>Ознакомиться</v>
      </c>
      <c r="W87" s="8" t="s">
        <v>82</v>
      </c>
      <c r="X87" s="6"/>
      <c r="Y87" s="6"/>
      <c r="Z87" s="6"/>
      <c r="AA87" s="6" t="s">
        <v>500</v>
      </c>
      <c r="AB87" s="8"/>
    </row>
    <row r="88" spans="1:28" s="4" customFormat="1" ht="51.95" customHeight="1">
      <c r="A88" s="5">
        <v>0</v>
      </c>
      <c r="B88" s="6" t="s">
        <v>655</v>
      </c>
      <c r="C88" s="7">
        <v>2162</v>
      </c>
      <c r="D88" s="8" t="s">
        <v>656</v>
      </c>
      <c r="E88" s="8" t="s">
        <v>657</v>
      </c>
      <c r="F88" s="8" t="s">
        <v>658</v>
      </c>
      <c r="G88" s="6" t="s">
        <v>90</v>
      </c>
      <c r="H88" s="6" t="s">
        <v>54</v>
      </c>
      <c r="I88" s="8"/>
      <c r="J88" s="9">
        <v>1</v>
      </c>
      <c r="K88" s="9">
        <v>302</v>
      </c>
      <c r="L88" s="9">
        <v>2026</v>
      </c>
      <c r="M88" s="8" t="s">
        <v>659</v>
      </c>
      <c r="N88" s="8" t="s">
        <v>56</v>
      </c>
      <c r="O88" s="8" t="s">
        <v>57</v>
      </c>
      <c r="P88" s="6" t="s">
        <v>44</v>
      </c>
      <c r="Q88" s="8" t="s">
        <v>45</v>
      </c>
      <c r="R88" s="10" t="s">
        <v>660</v>
      </c>
      <c r="S88" s="11" t="s">
        <v>661</v>
      </c>
      <c r="T88" s="6"/>
      <c r="U88" s="24" t="str">
        <f>HYPERLINK("https://media.infra-m.ru/2226/2226466/cover/2226466.jpg", "Обложка")</f>
        <v>Обложка</v>
      </c>
      <c r="V88" s="24" t="str">
        <f>HYPERLINK("https://znanium.ru/catalog/product/2226466", "Ознакомиться")</f>
        <v>Ознакомиться</v>
      </c>
      <c r="W88" s="8" t="s">
        <v>662</v>
      </c>
      <c r="X88" s="6"/>
      <c r="Y88" s="6"/>
      <c r="Z88" s="6" t="s">
        <v>48</v>
      </c>
      <c r="AA88" s="6" t="s">
        <v>129</v>
      </c>
      <c r="AB88" s="8"/>
    </row>
    <row r="89" spans="1:28" s="4" customFormat="1" ht="42" customHeight="1">
      <c r="A89" s="5">
        <v>0</v>
      </c>
      <c r="B89" s="6" t="s">
        <v>663</v>
      </c>
      <c r="C89" s="7">
        <v>2330</v>
      </c>
      <c r="D89" s="8" t="s">
        <v>664</v>
      </c>
      <c r="E89" s="8" t="s">
        <v>665</v>
      </c>
      <c r="F89" s="8" t="s">
        <v>99</v>
      </c>
      <c r="G89" s="6" t="s">
        <v>38</v>
      </c>
      <c r="H89" s="6" t="s">
        <v>54</v>
      </c>
      <c r="I89" s="8" t="s">
        <v>79</v>
      </c>
      <c r="J89" s="9">
        <v>1</v>
      </c>
      <c r="K89" s="9">
        <v>467</v>
      </c>
      <c r="L89" s="9">
        <v>2024</v>
      </c>
      <c r="M89" s="8" t="s">
        <v>666</v>
      </c>
      <c r="N89" s="8" t="s">
        <v>56</v>
      </c>
      <c r="O89" s="8" t="s">
        <v>57</v>
      </c>
      <c r="P89" s="6" t="s">
        <v>58</v>
      </c>
      <c r="Q89" s="8" t="s">
        <v>45</v>
      </c>
      <c r="R89" s="10" t="s">
        <v>667</v>
      </c>
      <c r="S89" s="11"/>
      <c r="T89" s="6"/>
      <c r="U89" s="24" t="str">
        <f>HYPERLINK("https://media.infra-m.ru/2130/2130861/cover/2130861.jpg", "Обложка")</f>
        <v>Обложка</v>
      </c>
      <c r="V89" s="24" t="str">
        <f>HYPERLINK("https://znanium.ru/catalog/product/2130861", "Ознакомиться")</f>
        <v>Ознакомиться</v>
      </c>
      <c r="W89" s="8" t="s">
        <v>82</v>
      </c>
      <c r="X89" s="6"/>
      <c r="Y89" s="6"/>
      <c r="Z89" s="6"/>
      <c r="AA89" s="6" t="s">
        <v>354</v>
      </c>
      <c r="AB89" s="8"/>
    </row>
    <row r="90" spans="1:28" s="4" customFormat="1" ht="51.95" customHeight="1">
      <c r="A90" s="5">
        <v>0</v>
      </c>
      <c r="B90" s="6" t="s">
        <v>668</v>
      </c>
      <c r="C90" s="7">
        <v>1620</v>
      </c>
      <c r="D90" s="8" t="s">
        <v>669</v>
      </c>
      <c r="E90" s="8" t="s">
        <v>670</v>
      </c>
      <c r="F90" s="8" t="s">
        <v>99</v>
      </c>
      <c r="G90" s="6" t="s">
        <v>38</v>
      </c>
      <c r="H90" s="6" t="s">
        <v>54</v>
      </c>
      <c r="I90" s="8" t="s">
        <v>79</v>
      </c>
      <c r="J90" s="9">
        <v>1</v>
      </c>
      <c r="K90" s="9">
        <v>340</v>
      </c>
      <c r="L90" s="9">
        <v>2024</v>
      </c>
      <c r="M90" s="8" t="s">
        <v>671</v>
      </c>
      <c r="N90" s="8" t="s">
        <v>56</v>
      </c>
      <c r="O90" s="8" t="s">
        <v>57</v>
      </c>
      <c r="P90" s="6" t="s">
        <v>58</v>
      </c>
      <c r="Q90" s="8" t="s">
        <v>45</v>
      </c>
      <c r="R90" s="10" t="s">
        <v>672</v>
      </c>
      <c r="S90" s="11"/>
      <c r="T90" s="6"/>
      <c r="U90" s="24" t="str">
        <f>HYPERLINK("https://media.infra-m.ru/2063/2063440/cover/2063440.jpg", "Обложка")</f>
        <v>Обложка</v>
      </c>
      <c r="V90" s="24" t="str">
        <f>HYPERLINK("https://znanium.ru/catalog/product/2063440", "Ознакомиться")</f>
        <v>Ознакомиться</v>
      </c>
      <c r="W90" s="8" t="s">
        <v>82</v>
      </c>
      <c r="X90" s="6"/>
      <c r="Y90" s="6"/>
      <c r="Z90" s="6"/>
      <c r="AA90" s="6" t="s">
        <v>354</v>
      </c>
      <c r="AB90" s="8" t="s">
        <v>232</v>
      </c>
    </row>
    <row r="91" spans="1:28" s="4" customFormat="1" ht="51.95" customHeight="1">
      <c r="A91" s="5">
        <v>0</v>
      </c>
      <c r="B91" s="6" t="s">
        <v>673</v>
      </c>
      <c r="C91" s="7">
        <v>1780</v>
      </c>
      <c r="D91" s="8" t="s">
        <v>674</v>
      </c>
      <c r="E91" s="8" t="s">
        <v>675</v>
      </c>
      <c r="F91" s="8" t="s">
        <v>99</v>
      </c>
      <c r="G91" s="6" t="s">
        <v>38</v>
      </c>
      <c r="H91" s="6" t="s">
        <v>54</v>
      </c>
      <c r="I91" s="8" t="s">
        <v>79</v>
      </c>
      <c r="J91" s="9">
        <v>1</v>
      </c>
      <c r="K91" s="9">
        <v>371</v>
      </c>
      <c r="L91" s="9">
        <v>2024</v>
      </c>
      <c r="M91" s="8" t="s">
        <v>676</v>
      </c>
      <c r="N91" s="8" t="s">
        <v>56</v>
      </c>
      <c r="O91" s="8" t="s">
        <v>57</v>
      </c>
      <c r="P91" s="6" t="s">
        <v>58</v>
      </c>
      <c r="Q91" s="8" t="s">
        <v>45</v>
      </c>
      <c r="R91" s="10" t="s">
        <v>677</v>
      </c>
      <c r="S91" s="11"/>
      <c r="T91" s="6"/>
      <c r="U91" s="24" t="str">
        <f>HYPERLINK("https://media.infra-m.ru/2049/2049710/cover/2049710.jpg", "Обложка")</f>
        <v>Обложка</v>
      </c>
      <c r="V91" s="24" t="str">
        <f>HYPERLINK("https://znanium.ru/catalog/product/2049710", "Ознакомиться")</f>
        <v>Ознакомиться</v>
      </c>
      <c r="W91" s="8" t="s">
        <v>82</v>
      </c>
      <c r="X91" s="6"/>
      <c r="Y91" s="6"/>
      <c r="Z91" s="6"/>
      <c r="AA91" s="6" t="s">
        <v>354</v>
      </c>
      <c r="AB91" s="8" t="s">
        <v>232</v>
      </c>
    </row>
    <row r="92" spans="1:28" s="4" customFormat="1" ht="42" customHeight="1">
      <c r="A92" s="5">
        <v>0</v>
      </c>
      <c r="B92" s="6" t="s">
        <v>678</v>
      </c>
      <c r="C92" s="7">
        <v>1990</v>
      </c>
      <c r="D92" s="8" t="s">
        <v>679</v>
      </c>
      <c r="E92" s="8" t="s">
        <v>680</v>
      </c>
      <c r="F92" s="8" t="s">
        <v>99</v>
      </c>
      <c r="G92" s="6" t="s">
        <v>38</v>
      </c>
      <c r="H92" s="6" t="s">
        <v>54</v>
      </c>
      <c r="I92" s="8" t="s">
        <v>681</v>
      </c>
      <c r="J92" s="9">
        <v>1</v>
      </c>
      <c r="K92" s="9">
        <v>356</v>
      </c>
      <c r="L92" s="9">
        <v>2026</v>
      </c>
      <c r="M92" s="8" t="s">
        <v>682</v>
      </c>
      <c r="N92" s="8" t="s">
        <v>56</v>
      </c>
      <c r="O92" s="8" t="s">
        <v>57</v>
      </c>
      <c r="P92" s="6" t="s">
        <v>58</v>
      </c>
      <c r="Q92" s="8" t="s">
        <v>45</v>
      </c>
      <c r="R92" s="10" t="s">
        <v>683</v>
      </c>
      <c r="S92" s="11"/>
      <c r="T92" s="6"/>
      <c r="U92" s="24" t="str">
        <f>HYPERLINK("https://media.infra-m.ru/2212/2212034/cover/2212034.jpg", "Обложка")</f>
        <v>Обложка</v>
      </c>
      <c r="V92" s="24" t="str">
        <f>HYPERLINK("https://znanium.ru/catalog/product/2212034", "Ознакомиться")</f>
        <v>Ознакомиться</v>
      </c>
      <c r="W92" s="8" t="s">
        <v>82</v>
      </c>
      <c r="X92" s="6" t="s">
        <v>61</v>
      </c>
      <c r="Y92" s="6"/>
      <c r="Z92" s="6"/>
      <c r="AA92" s="6" t="s">
        <v>62</v>
      </c>
      <c r="AB92" s="8"/>
    </row>
    <row r="93" spans="1:28" s="4" customFormat="1" ht="51.95" customHeight="1">
      <c r="A93" s="5">
        <v>0</v>
      </c>
      <c r="B93" s="6" t="s">
        <v>684</v>
      </c>
      <c r="C93" s="7">
        <v>2614</v>
      </c>
      <c r="D93" s="8" t="s">
        <v>685</v>
      </c>
      <c r="E93" s="8" t="s">
        <v>686</v>
      </c>
      <c r="F93" s="8" t="s">
        <v>99</v>
      </c>
      <c r="G93" s="6" t="s">
        <v>38</v>
      </c>
      <c r="H93" s="6" t="s">
        <v>54</v>
      </c>
      <c r="I93" s="8" t="s">
        <v>79</v>
      </c>
      <c r="J93" s="9">
        <v>1</v>
      </c>
      <c r="K93" s="9">
        <v>503</v>
      </c>
      <c r="L93" s="9">
        <v>2026</v>
      </c>
      <c r="M93" s="8" t="s">
        <v>687</v>
      </c>
      <c r="N93" s="8" t="s">
        <v>56</v>
      </c>
      <c r="O93" s="8" t="s">
        <v>57</v>
      </c>
      <c r="P93" s="6" t="s">
        <v>58</v>
      </c>
      <c r="Q93" s="8" t="s">
        <v>45</v>
      </c>
      <c r="R93" s="10" t="s">
        <v>688</v>
      </c>
      <c r="S93" s="11"/>
      <c r="T93" s="6" t="s">
        <v>118</v>
      </c>
      <c r="U93" s="24" t="str">
        <f>HYPERLINK("https://media.infra-m.ru/2202/2202113/cover/2202113.jpg", "Обложка")</f>
        <v>Обложка</v>
      </c>
      <c r="V93" s="24" t="str">
        <f>HYPERLINK("https://znanium.ru/catalog/product/2180535", "Ознакомиться")</f>
        <v>Ознакомиться</v>
      </c>
      <c r="W93" s="8" t="s">
        <v>82</v>
      </c>
      <c r="X93" s="6"/>
      <c r="Y93" s="6"/>
      <c r="Z93" s="6"/>
      <c r="AA93" s="6" t="s">
        <v>354</v>
      </c>
      <c r="AB93" s="8" t="s">
        <v>648</v>
      </c>
    </row>
    <row r="94" spans="1:28" s="4" customFormat="1" ht="51.95" customHeight="1">
      <c r="A94" s="5">
        <v>0</v>
      </c>
      <c r="B94" s="6" t="s">
        <v>689</v>
      </c>
      <c r="C94" s="13">
        <v>564.9</v>
      </c>
      <c r="D94" s="8" t="s">
        <v>690</v>
      </c>
      <c r="E94" s="8" t="s">
        <v>691</v>
      </c>
      <c r="F94" s="8" t="s">
        <v>692</v>
      </c>
      <c r="G94" s="6" t="s">
        <v>38</v>
      </c>
      <c r="H94" s="6" t="s">
        <v>693</v>
      </c>
      <c r="I94" s="8" t="s">
        <v>694</v>
      </c>
      <c r="J94" s="9">
        <v>1</v>
      </c>
      <c r="K94" s="9">
        <v>192</v>
      </c>
      <c r="L94" s="9">
        <v>2017</v>
      </c>
      <c r="M94" s="8" t="s">
        <v>695</v>
      </c>
      <c r="N94" s="8" t="s">
        <v>56</v>
      </c>
      <c r="O94" s="8" t="s">
        <v>57</v>
      </c>
      <c r="P94" s="6" t="s">
        <v>44</v>
      </c>
      <c r="Q94" s="8" t="s">
        <v>45</v>
      </c>
      <c r="R94" s="10" t="s">
        <v>625</v>
      </c>
      <c r="S94" s="11" t="s">
        <v>626</v>
      </c>
      <c r="T94" s="6"/>
      <c r="U94" s="12"/>
      <c r="V94" s="24" t="str">
        <f>HYPERLINK("https://znanium.ru/catalog/product/2220968", "Ознакомиться")</f>
        <v>Ознакомиться</v>
      </c>
      <c r="W94" s="8" t="s">
        <v>627</v>
      </c>
      <c r="X94" s="6"/>
      <c r="Y94" s="6" t="s">
        <v>30</v>
      </c>
      <c r="Z94" s="6"/>
      <c r="AA94" s="6" t="s">
        <v>696</v>
      </c>
      <c r="AB94" s="8"/>
    </row>
    <row r="95" spans="1:28" s="4" customFormat="1" ht="42" customHeight="1">
      <c r="A95" s="5">
        <v>0</v>
      </c>
      <c r="B95" s="6" t="s">
        <v>697</v>
      </c>
      <c r="C95" s="7">
        <v>2690</v>
      </c>
      <c r="D95" s="8" t="s">
        <v>698</v>
      </c>
      <c r="E95" s="8" t="s">
        <v>699</v>
      </c>
      <c r="F95" s="8" t="s">
        <v>99</v>
      </c>
      <c r="G95" s="6" t="s">
        <v>38</v>
      </c>
      <c r="H95" s="6" t="s">
        <v>54</v>
      </c>
      <c r="I95" s="8" t="s">
        <v>79</v>
      </c>
      <c r="J95" s="9">
        <v>1</v>
      </c>
      <c r="K95" s="9">
        <v>524</v>
      </c>
      <c r="L95" s="9">
        <v>2025</v>
      </c>
      <c r="M95" s="8" t="s">
        <v>700</v>
      </c>
      <c r="N95" s="8" t="s">
        <v>56</v>
      </c>
      <c r="O95" s="8" t="s">
        <v>57</v>
      </c>
      <c r="P95" s="6" t="s">
        <v>58</v>
      </c>
      <c r="Q95" s="8" t="s">
        <v>45</v>
      </c>
      <c r="R95" s="10" t="s">
        <v>701</v>
      </c>
      <c r="S95" s="11"/>
      <c r="T95" s="6"/>
      <c r="U95" s="24" t="str">
        <f>HYPERLINK("https://media.infra-m.ru/2157/2157620/cover/2157620.jpg", "Обложка")</f>
        <v>Обложка</v>
      </c>
      <c r="V95" s="24" t="str">
        <f>HYPERLINK("https://znanium.ru/catalog/product/2157620", "Ознакомиться")</f>
        <v>Ознакомиться</v>
      </c>
      <c r="W95" s="8" t="s">
        <v>82</v>
      </c>
      <c r="X95" s="6"/>
      <c r="Y95" s="6"/>
      <c r="Z95" s="6"/>
      <c r="AA95" s="6" t="s">
        <v>84</v>
      </c>
      <c r="AB95" s="8" t="s">
        <v>85</v>
      </c>
    </row>
    <row r="96" spans="1:28" s="4" customFormat="1" ht="51.95" customHeight="1">
      <c r="A96" s="5">
        <v>0</v>
      </c>
      <c r="B96" s="6" t="s">
        <v>702</v>
      </c>
      <c r="C96" s="7">
        <v>1270</v>
      </c>
      <c r="D96" s="8" t="s">
        <v>703</v>
      </c>
      <c r="E96" s="8" t="s">
        <v>704</v>
      </c>
      <c r="F96" s="8" t="s">
        <v>705</v>
      </c>
      <c r="G96" s="6" t="s">
        <v>90</v>
      </c>
      <c r="H96" s="6" t="s">
        <v>54</v>
      </c>
      <c r="I96" s="8" t="s">
        <v>40</v>
      </c>
      <c r="J96" s="9">
        <v>1</v>
      </c>
      <c r="K96" s="9">
        <v>266</v>
      </c>
      <c r="L96" s="9">
        <v>2024</v>
      </c>
      <c r="M96" s="8" t="s">
        <v>706</v>
      </c>
      <c r="N96" s="8" t="s">
        <v>56</v>
      </c>
      <c r="O96" s="8" t="s">
        <v>57</v>
      </c>
      <c r="P96" s="6" t="s">
        <v>58</v>
      </c>
      <c r="Q96" s="8" t="s">
        <v>45</v>
      </c>
      <c r="R96" s="10" t="s">
        <v>707</v>
      </c>
      <c r="S96" s="11" t="s">
        <v>708</v>
      </c>
      <c r="T96" s="6"/>
      <c r="U96" s="24" t="str">
        <f>HYPERLINK("https://media.infra-m.ru/2130/2130251/cover/2130251.jpg", "Обложка")</f>
        <v>Обложка</v>
      </c>
      <c r="V96" s="24" t="str">
        <f>HYPERLINK("https://znanium.ru/catalog/product/2130251", "Ознакомиться")</f>
        <v>Ознакомиться</v>
      </c>
      <c r="W96" s="8" t="s">
        <v>709</v>
      </c>
      <c r="X96" s="6"/>
      <c r="Y96" s="6"/>
      <c r="Z96" s="6"/>
      <c r="AA96" s="6" t="s">
        <v>102</v>
      </c>
      <c r="AB96" s="8" t="s">
        <v>710</v>
      </c>
    </row>
    <row r="97" spans="1:28" s="4" customFormat="1" ht="51.95" customHeight="1">
      <c r="A97" s="5">
        <v>0</v>
      </c>
      <c r="B97" s="6" t="s">
        <v>711</v>
      </c>
      <c r="C97" s="7">
        <v>3964</v>
      </c>
      <c r="D97" s="8" t="s">
        <v>712</v>
      </c>
      <c r="E97" s="8" t="s">
        <v>713</v>
      </c>
      <c r="F97" s="8" t="s">
        <v>99</v>
      </c>
      <c r="G97" s="6" t="s">
        <v>38</v>
      </c>
      <c r="H97" s="6" t="s">
        <v>54</v>
      </c>
      <c r="I97" s="8" t="s">
        <v>79</v>
      </c>
      <c r="J97" s="9">
        <v>1</v>
      </c>
      <c r="K97" s="9">
        <v>782</v>
      </c>
      <c r="L97" s="9">
        <v>2026</v>
      </c>
      <c r="M97" s="8" t="s">
        <v>714</v>
      </c>
      <c r="N97" s="8" t="s">
        <v>56</v>
      </c>
      <c r="O97" s="8" t="s">
        <v>57</v>
      </c>
      <c r="P97" s="6" t="s">
        <v>58</v>
      </c>
      <c r="Q97" s="8" t="s">
        <v>45</v>
      </c>
      <c r="R97" s="10" t="s">
        <v>715</v>
      </c>
      <c r="S97" s="11"/>
      <c r="T97" s="6"/>
      <c r="U97" s="24" t="str">
        <f>HYPERLINK("https://media.infra-m.ru/2202/2202114/cover/2202114.jpg", "Обложка")</f>
        <v>Обложка</v>
      </c>
      <c r="V97" s="24" t="str">
        <f>HYPERLINK("https://znanium.ru/catalog/product/2180537", "Ознакомиться")</f>
        <v>Ознакомиться</v>
      </c>
      <c r="W97" s="8" t="s">
        <v>82</v>
      </c>
      <c r="X97" s="6"/>
      <c r="Y97" s="6"/>
      <c r="Z97" s="6"/>
      <c r="AA97" s="6" t="s">
        <v>354</v>
      </c>
      <c r="AB97" s="8" t="s">
        <v>648</v>
      </c>
    </row>
    <row r="98" spans="1:28" s="4" customFormat="1" ht="51.95" customHeight="1">
      <c r="A98" s="5">
        <v>0</v>
      </c>
      <c r="B98" s="6" t="s">
        <v>716</v>
      </c>
      <c r="C98" s="7">
        <v>1780</v>
      </c>
      <c r="D98" s="8" t="s">
        <v>717</v>
      </c>
      <c r="E98" s="8" t="s">
        <v>718</v>
      </c>
      <c r="F98" s="8" t="s">
        <v>99</v>
      </c>
      <c r="G98" s="6" t="s">
        <v>38</v>
      </c>
      <c r="H98" s="6" t="s">
        <v>54</v>
      </c>
      <c r="I98" s="8" t="s">
        <v>79</v>
      </c>
      <c r="J98" s="9">
        <v>1</v>
      </c>
      <c r="K98" s="9">
        <v>329</v>
      </c>
      <c r="L98" s="9">
        <v>2026</v>
      </c>
      <c r="M98" s="8" t="s">
        <v>719</v>
      </c>
      <c r="N98" s="8" t="s">
        <v>56</v>
      </c>
      <c r="O98" s="8" t="s">
        <v>57</v>
      </c>
      <c r="P98" s="6" t="s">
        <v>58</v>
      </c>
      <c r="Q98" s="8" t="s">
        <v>45</v>
      </c>
      <c r="R98" s="10" t="s">
        <v>720</v>
      </c>
      <c r="S98" s="11"/>
      <c r="T98" s="6"/>
      <c r="U98" s="24" t="str">
        <f>HYPERLINK("https://media.infra-m.ru/2203/2203350/cover/2203350.jpg", "Обложка")</f>
        <v>Обложка</v>
      </c>
      <c r="V98" s="24" t="str">
        <f>HYPERLINK("https://znanium.ru/catalog/product/2203350", "Ознакомиться")</f>
        <v>Ознакомиться</v>
      </c>
      <c r="W98" s="8" t="s">
        <v>82</v>
      </c>
      <c r="X98" s="6" t="s">
        <v>721</v>
      </c>
      <c r="Y98" s="6"/>
      <c r="Z98" s="6"/>
      <c r="AA98" s="6" t="s">
        <v>62</v>
      </c>
      <c r="AB98" s="8"/>
    </row>
    <row r="99" spans="1:28" s="4" customFormat="1" ht="42" customHeight="1">
      <c r="A99" s="5">
        <v>0</v>
      </c>
      <c r="B99" s="6" t="s">
        <v>722</v>
      </c>
      <c r="C99" s="7">
        <v>2020</v>
      </c>
      <c r="D99" s="8" t="s">
        <v>723</v>
      </c>
      <c r="E99" s="8" t="s">
        <v>724</v>
      </c>
      <c r="F99" s="8" t="s">
        <v>99</v>
      </c>
      <c r="G99" s="6" t="s">
        <v>38</v>
      </c>
      <c r="H99" s="6" t="s">
        <v>54</v>
      </c>
      <c r="I99" s="8" t="s">
        <v>79</v>
      </c>
      <c r="J99" s="9">
        <v>1</v>
      </c>
      <c r="K99" s="9">
        <v>388</v>
      </c>
      <c r="L99" s="9">
        <v>2025</v>
      </c>
      <c r="M99" s="8" t="s">
        <v>725</v>
      </c>
      <c r="N99" s="8" t="s">
        <v>56</v>
      </c>
      <c r="O99" s="8" t="s">
        <v>57</v>
      </c>
      <c r="P99" s="6" t="s">
        <v>58</v>
      </c>
      <c r="Q99" s="8" t="s">
        <v>45</v>
      </c>
      <c r="R99" s="10" t="s">
        <v>726</v>
      </c>
      <c r="S99" s="11"/>
      <c r="T99" s="6"/>
      <c r="U99" s="24" t="str">
        <f>HYPERLINK("https://media.infra-m.ru/2171/2171040/cover/2171040.jpg", "Обложка")</f>
        <v>Обложка</v>
      </c>
      <c r="V99" s="24" t="str">
        <f>HYPERLINK("https://znanium.ru/catalog/product/2171040", "Ознакомиться")</f>
        <v>Ознакомиться</v>
      </c>
      <c r="W99" s="8" t="s">
        <v>82</v>
      </c>
      <c r="X99" s="6" t="s">
        <v>727</v>
      </c>
      <c r="Y99" s="6"/>
      <c r="Z99" s="6"/>
      <c r="AA99" s="6" t="s">
        <v>84</v>
      </c>
      <c r="AB99" s="8" t="s">
        <v>85</v>
      </c>
    </row>
    <row r="100" spans="1:28" s="4" customFormat="1" ht="42" customHeight="1">
      <c r="A100" s="5">
        <v>0</v>
      </c>
      <c r="B100" s="6" t="s">
        <v>728</v>
      </c>
      <c r="C100" s="7">
        <v>2200</v>
      </c>
      <c r="D100" s="8" t="s">
        <v>729</v>
      </c>
      <c r="E100" s="8" t="s">
        <v>730</v>
      </c>
      <c r="F100" s="8" t="s">
        <v>99</v>
      </c>
      <c r="G100" s="6" t="s">
        <v>38</v>
      </c>
      <c r="H100" s="6" t="s">
        <v>54</v>
      </c>
      <c r="I100" s="8" t="s">
        <v>79</v>
      </c>
      <c r="J100" s="9">
        <v>1</v>
      </c>
      <c r="K100" s="9">
        <v>422</v>
      </c>
      <c r="L100" s="9">
        <v>2025</v>
      </c>
      <c r="M100" s="8" t="s">
        <v>731</v>
      </c>
      <c r="N100" s="8" t="s">
        <v>56</v>
      </c>
      <c r="O100" s="8" t="s">
        <v>57</v>
      </c>
      <c r="P100" s="6" t="s">
        <v>58</v>
      </c>
      <c r="Q100" s="8" t="s">
        <v>45</v>
      </c>
      <c r="R100" s="10" t="s">
        <v>632</v>
      </c>
      <c r="S100" s="11"/>
      <c r="T100" s="6"/>
      <c r="U100" s="24" t="str">
        <f>HYPERLINK("https://media.infra-m.ru/2169/2169270/cover/2169270.jpg", "Обложка")</f>
        <v>Обложка</v>
      </c>
      <c r="V100" s="24" t="str">
        <f>HYPERLINK("https://znanium.ru/catalog/product/2169270", "Ознакомиться")</f>
        <v>Ознакомиться</v>
      </c>
      <c r="W100" s="8" t="s">
        <v>82</v>
      </c>
      <c r="X100" s="6" t="s">
        <v>727</v>
      </c>
      <c r="Y100" s="6"/>
      <c r="Z100" s="6"/>
      <c r="AA100" s="6" t="s">
        <v>84</v>
      </c>
      <c r="AB100" s="8"/>
    </row>
    <row r="101" spans="1:28" s="4" customFormat="1" ht="51.95" customHeight="1">
      <c r="A101" s="5">
        <v>0</v>
      </c>
      <c r="B101" s="6" t="s">
        <v>732</v>
      </c>
      <c r="C101" s="7">
        <v>1314</v>
      </c>
      <c r="D101" s="8" t="s">
        <v>733</v>
      </c>
      <c r="E101" s="8" t="s">
        <v>734</v>
      </c>
      <c r="F101" s="8" t="s">
        <v>735</v>
      </c>
      <c r="G101" s="6" t="s">
        <v>90</v>
      </c>
      <c r="H101" s="6" t="s">
        <v>54</v>
      </c>
      <c r="I101" s="8" t="s">
        <v>40</v>
      </c>
      <c r="J101" s="9">
        <v>1</v>
      </c>
      <c r="K101" s="9">
        <v>252</v>
      </c>
      <c r="L101" s="9">
        <v>2026</v>
      </c>
      <c r="M101" s="8" t="s">
        <v>736</v>
      </c>
      <c r="N101" s="8" t="s">
        <v>56</v>
      </c>
      <c r="O101" s="8" t="s">
        <v>57</v>
      </c>
      <c r="P101" s="6" t="s">
        <v>44</v>
      </c>
      <c r="Q101" s="8" t="s">
        <v>45</v>
      </c>
      <c r="R101" s="10" t="s">
        <v>737</v>
      </c>
      <c r="S101" s="11" t="s">
        <v>738</v>
      </c>
      <c r="T101" s="6"/>
      <c r="U101" s="24" t="str">
        <f>HYPERLINK("https://media.infra-m.ru/2216/2216838/cover/2216838.jpg", "Обложка")</f>
        <v>Обложка</v>
      </c>
      <c r="V101" s="24" t="str">
        <f>HYPERLINK("https://znanium.ru/catalog/product/2212068", "Ознакомиться")</f>
        <v>Ознакомиться</v>
      </c>
      <c r="W101" s="8" t="s">
        <v>739</v>
      </c>
      <c r="X101" s="6"/>
      <c r="Y101" s="6" t="s">
        <v>30</v>
      </c>
      <c r="Z101" s="6"/>
      <c r="AA101" s="6" t="s">
        <v>740</v>
      </c>
      <c r="AB101" s="8" t="s">
        <v>401</v>
      </c>
    </row>
    <row r="102" spans="1:28" s="4" customFormat="1" ht="42" customHeight="1">
      <c r="A102" s="5">
        <v>0</v>
      </c>
      <c r="B102" s="6" t="s">
        <v>741</v>
      </c>
      <c r="C102" s="7">
        <v>2160</v>
      </c>
      <c r="D102" s="8" t="s">
        <v>742</v>
      </c>
      <c r="E102" s="8" t="s">
        <v>743</v>
      </c>
      <c r="F102" s="8" t="s">
        <v>99</v>
      </c>
      <c r="G102" s="6" t="s">
        <v>38</v>
      </c>
      <c r="H102" s="6" t="s">
        <v>54</v>
      </c>
      <c r="I102" s="8" t="s">
        <v>79</v>
      </c>
      <c r="J102" s="9">
        <v>1</v>
      </c>
      <c r="K102" s="9">
        <v>415</v>
      </c>
      <c r="L102" s="9">
        <v>2025</v>
      </c>
      <c r="M102" s="8" t="s">
        <v>744</v>
      </c>
      <c r="N102" s="8" t="s">
        <v>56</v>
      </c>
      <c r="O102" s="8" t="s">
        <v>57</v>
      </c>
      <c r="P102" s="6" t="s">
        <v>58</v>
      </c>
      <c r="Q102" s="8" t="s">
        <v>45</v>
      </c>
      <c r="R102" s="10" t="s">
        <v>745</v>
      </c>
      <c r="S102" s="11"/>
      <c r="T102" s="6"/>
      <c r="U102" s="24" t="str">
        <f>HYPERLINK("https://media.infra-m.ru/2170/2170823/cover/2170823.jpg", "Обложка")</f>
        <v>Обложка</v>
      </c>
      <c r="V102" s="24" t="str">
        <f>HYPERLINK("https://znanium.ru/catalog/product/2170823", "Ознакомиться")</f>
        <v>Ознакомиться</v>
      </c>
      <c r="W102" s="8" t="s">
        <v>82</v>
      </c>
      <c r="X102" s="6" t="s">
        <v>727</v>
      </c>
      <c r="Y102" s="6"/>
      <c r="Z102" s="6"/>
      <c r="AA102" s="6" t="s">
        <v>84</v>
      </c>
      <c r="AB102" s="8"/>
    </row>
    <row r="103" spans="1:28" s="4" customFormat="1" ht="42" customHeight="1">
      <c r="A103" s="5">
        <v>0</v>
      </c>
      <c r="B103" s="6" t="s">
        <v>746</v>
      </c>
      <c r="C103" s="7">
        <v>2370</v>
      </c>
      <c r="D103" s="8" t="s">
        <v>747</v>
      </c>
      <c r="E103" s="8" t="s">
        <v>748</v>
      </c>
      <c r="F103" s="8" t="s">
        <v>99</v>
      </c>
      <c r="G103" s="6" t="s">
        <v>38</v>
      </c>
      <c r="H103" s="6" t="s">
        <v>54</v>
      </c>
      <c r="I103" s="8" t="s">
        <v>79</v>
      </c>
      <c r="J103" s="9">
        <v>1</v>
      </c>
      <c r="K103" s="9">
        <v>455</v>
      </c>
      <c r="L103" s="9">
        <v>2025</v>
      </c>
      <c r="M103" s="8" t="s">
        <v>749</v>
      </c>
      <c r="N103" s="8" t="s">
        <v>56</v>
      </c>
      <c r="O103" s="8" t="s">
        <v>57</v>
      </c>
      <c r="P103" s="6" t="s">
        <v>58</v>
      </c>
      <c r="Q103" s="8" t="s">
        <v>45</v>
      </c>
      <c r="R103" s="10" t="s">
        <v>750</v>
      </c>
      <c r="S103" s="11"/>
      <c r="T103" s="6"/>
      <c r="U103" s="24" t="str">
        <f>HYPERLINK("https://media.infra-m.ru/2174/2174704/cover/2174704.jpg", "Обложка")</f>
        <v>Обложка</v>
      </c>
      <c r="V103" s="24" t="str">
        <f>HYPERLINK("https://znanium.ru/catalog/product/2174704", "Ознакомиться")</f>
        <v>Ознакомиться</v>
      </c>
      <c r="W103" s="8" t="s">
        <v>82</v>
      </c>
      <c r="X103" s="6" t="s">
        <v>727</v>
      </c>
      <c r="Y103" s="6"/>
      <c r="Z103" s="6"/>
      <c r="AA103" s="6" t="s">
        <v>84</v>
      </c>
      <c r="AB103" s="8" t="s">
        <v>751</v>
      </c>
    </row>
    <row r="104" spans="1:28" s="4" customFormat="1" ht="51.95" customHeight="1">
      <c r="A104" s="5">
        <v>0</v>
      </c>
      <c r="B104" s="6" t="s">
        <v>752</v>
      </c>
      <c r="C104" s="13">
        <v>810</v>
      </c>
      <c r="D104" s="8" t="s">
        <v>753</v>
      </c>
      <c r="E104" s="8" t="s">
        <v>754</v>
      </c>
      <c r="F104" s="8" t="s">
        <v>755</v>
      </c>
      <c r="G104" s="6" t="s">
        <v>38</v>
      </c>
      <c r="H104" s="6" t="s">
        <v>54</v>
      </c>
      <c r="I104" s="8" t="s">
        <v>40</v>
      </c>
      <c r="J104" s="9">
        <v>1</v>
      </c>
      <c r="K104" s="9">
        <v>160</v>
      </c>
      <c r="L104" s="9">
        <v>2024</v>
      </c>
      <c r="M104" s="8" t="s">
        <v>756</v>
      </c>
      <c r="N104" s="8" t="s">
        <v>56</v>
      </c>
      <c r="O104" s="8" t="s">
        <v>57</v>
      </c>
      <c r="P104" s="6" t="s">
        <v>44</v>
      </c>
      <c r="Q104" s="8" t="s">
        <v>45</v>
      </c>
      <c r="R104" s="10" t="s">
        <v>757</v>
      </c>
      <c r="S104" s="11"/>
      <c r="T104" s="6"/>
      <c r="U104" s="24" t="str">
        <f>HYPERLINK("https://media.infra-m.ru/1989/1989235/cover/1989235.jpg", "Обложка")</f>
        <v>Обложка</v>
      </c>
      <c r="V104" s="24" t="str">
        <f>HYPERLINK("https://znanium.ru/catalog/product/1989235", "Ознакомиться")</f>
        <v>Ознакомиться</v>
      </c>
      <c r="W104" s="8" t="s">
        <v>758</v>
      </c>
      <c r="X104" s="6"/>
      <c r="Y104" s="6"/>
      <c r="Z104" s="6"/>
      <c r="AA104" s="6" t="s">
        <v>354</v>
      </c>
      <c r="AB104" s="8" t="s">
        <v>759</v>
      </c>
    </row>
    <row r="105" spans="1:28" s="4" customFormat="1" ht="51.95" customHeight="1">
      <c r="A105" s="5">
        <v>0</v>
      </c>
      <c r="B105" s="6" t="s">
        <v>760</v>
      </c>
      <c r="C105" s="13">
        <v>920</v>
      </c>
      <c r="D105" s="8" t="s">
        <v>761</v>
      </c>
      <c r="E105" s="8" t="s">
        <v>762</v>
      </c>
      <c r="F105" s="8" t="s">
        <v>604</v>
      </c>
      <c r="G105" s="6" t="s">
        <v>90</v>
      </c>
      <c r="H105" s="6" t="s">
        <v>54</v>
      </c>
      <c r="I105" s="8" t="s">
        <v>40</v>
      </c>
      <c r="J105" s="9">
        <v>1</v>
      </c>
      <c r="K105" s="9">
        <v>200</v>
      </c>
      <c r="L105" s="9">
        <v>2024</v>
      </c>
      <c r="M105" s="8" t="s">
        <v>763</v>
      </c>
      <c r="N105" s="8" t="s">
        <v>56</v>
      </c>
      <c r="O105" s="8" t="s">
        <v>57</v>
      </c>
      <c r="P105" s="6" t="s">
        <v>44</v>
      </c>
      <c r="Q105" s="8" t="s">
        <v>45</v>
      </c>
      <c r="R105" s="10" t="s">
        <v>764</v>
      </c>
      <c r="S105" s="11" t="s">
        <v>765</v>
      </c>
      <c r="T105" s="6"/>
      <c r="U105" s="24" t="str">
        <f>HYPERLINK("https://media.infra-m.ru/2128/2128443/cover/2128443.jpg", "Обложка")</f>
        <v>Обложка</v>
      </c>
      <c r="V105" s="24" t="str">
        <f>HYPERLINK("https://znanium.ru/catalog/product/2128443", "Ознакомиться")</f>
        <v>Ознакомиться</v>
      </c>
      <c r="W105" s="8" t="s">
        <v>608</v>
      </c>
      <c r="X105" s="6"/>
      <c r="Y105" s="6" t="s">
        <v>30</v>
      </c>
      <c r="Z105" s="6"/>
      <c r="AA105" s="6" t="s">
        <v>766</v>
      </c>
      <c r="AB105" s="8"/>
    </row>
    <row r="106" spans="1:28" s="4" customFormat="1" ht="51.95" customHeight="1">
      <c r="A106" s="5">
        <v>0</v>
      </c>
      <c r="B106" s="6" t="s">
        <v>767</v>
      </c>
      <c r="C106" s="7">
        <v>1594</v>
      </c>
      <c r="D106" s="8" t="s">
        <v>768</v>
      </c>
      <c r="E106" s="8" t="s">
        <v>769</v>
      </c>
      <c r="F106" s="8" t="s">
        <v>770</v>
      </c>
      <c r="G106" s="6" t="s">
        <v>90</v>
      </c>
      <c r="H106" s="6" t="s">
        <v>54</v>
      </c>
      <c r="I106" s="8" t="s">
        <v>40</v>
      </c>
      <c r="J106" s="9">
        <v>1</v>
      </c>
      <c r="K106" s="9">
        <v>319</v>
      </c>
      <c r="L106" s="9">
        <v>2025</v>
      </c>
      <c r="M106" s="8" t="s">
        <v>771</v>
      </c>
      <c r="N106" s="8" t="s">
        <v>56</v>
      </c>
      <c r="O106" s="8" t="s">
        <v>57</v>
      </c>
      <c r="P106" s="6" t="s">
        <v>44</v>
      </c>
      <c r="Q106" s="8" t="s">
        <v>45</v>
      </c>
      <c r="R106" s="10" t="s">
        <v>464</v>
      </c>
      <c r="S106" s="11" t="s">
        <v>772</v>
      </c>
      <c r="T106" s="6"/>
      <c r="U106" s="24" t="str">
        <f>HYPERLINK("https://media.infra-m.ru/2174/2174260/cover/2174260.jpg", "Обложка")</f>
        <v>Обложка</v>
      </c>
      <c r="V106" s="24" t="str">
        <f>HYPERLINK("https://znanium.ru/catalog/product/1933138", "Ознакомиться")</f>
        <v>Ознакомиться</v>
      </c>
      <c r="W106" s="8" t="s">
        <v>180</v>
      </c>
      <c r="X106" s="6"/>
      <c r="Y106" s="6"/>
      <c r="Z106" s="6" t="s">
        <v>48</v>
      </c>
      <c r="AA106" s="6" t="s">
        <v>563</v>
      </c>
      <c r="AB106" s="8"/>
    </row>
    <row r="107" spans="1:28" s="4" customFormat="1" ht="51.95" customHeight="1">
      <c r="A107" s="5">
        <v>0</v>
      </c>
      <c r="B107" s="6" t="s">
        <v>773</v>
      </c>
      <c r="C107" s="7">
        <v>2020</v>
      </c>
      <c r="D107" s="8" t="s">
        <v>774</v>
      </c>
      <c r="E107" s="8" t="s">
        <v>775</v>
      </c>
      <c r="F107" s="8" t="s">
        <v>99</v>
      </c>
      <c r="G107" s="6" t="s">
        <v>38</v>
      </c>
      <c r="H107" s="6" t="s">
        <v>54</v>
      </c>
      <c r="I107" s="8" t="s">
        <v>79</v>
      </c>
      <c r="J107" s="9">
        <v>1</v>
      </c>
      <c r="K107" s="9">
        <v>393</v>
      </c>
      <c r="L107" s="9">
        <v>2025</v>
      </c>
      <c r="M107" s="8" t="s">
        <v>776</v>
      </c>
      <c r="N107" s="8" t="s">
        <v>56</v>
      </c>
      <c r="O107" s="8" t="s">
        <v>57</v>
      </c>
      <c r="P107" s="6" t="s">
        <v>58</v>
      </c>
      <c r="Q107" s="8" t="s">
        <v>45</v>
      </c>
      <c r="R107" s="10" t="s">
        <v>777</v>
      </c>
      <c r="S107" s="11"/>
      <c r="T107" s="6"/>
      <c r="U107" s="24" t="str">
        <f>HYPERLINK("https://media.infra-m.ru/2163/2163270/cover/2163270.jpg", "Обложка")</f>
        <v>Обложка</v>
      </c>
      <c r="V107" s="24" t="str">
        <f>HYPERLINK("https://znanium.ru/catalog/product/2163270", "Ознакомиться")</f>
        <v>Ознакомиться</v>
      </c>
      <c r="W107" s="8" t="s">
        <v>82</v>
      </c>
      <c r="X107" s="6" t="s">
        <v>83</v>
      </c>
      <c r="Y107" s="6"/>
      <c r="Z107" s="6"/>
      <c r="AA107" s="6" t="s">
        <v>84</v>
      </c>
      <c r="AB107" s="8"/>
    </row>
    <row r="108" spans="1:28" s="4" customFormat="1" ht="51.95" customHeight="1">
      <c r="A108" s="5">
        <v>0</v>
      </c>
      <c r="B108" s="6" t="s">
        <v>778</v>
      </c>
      <c r="C108" s="7">
        <v>1250</v>
      </c>
      <c r="D108" s="8" t="s">
        <v>779</v>
      </c>
      <c r="E108" s="8" t="s">
        <v>780</v>
      </c>
      <c r="F108" s="8" t="s">
        <v>781</v>
      </c>
      <c r="G108" s="6" t="s">
        <v>90</v>
      </c>
      <c r="H108" s="6" t="s">
        <v>54</v>
      </c>
      <c r="I108" s="8" t="s">
        <v>40</v>
      </c>
      <c r="J108" s="9">
        <v>1</v>
      </c>
      <c r="K108" s="9">
        <v>246</v>
      </c>
      <c r="L108" s="9">
        <v>2025</v>
      </c>
      <c r="M108" s="8" t="s">
        <v>782</v>
      </c>
      <c r="N108" s="8" t="s">
        <v>56</v>
      </c>
      <c r="O108" s="8" t="s">
        <v>57</v>
      </c>
      <c r="P108" s="6" t="s">
        <v>44</v>
      </c>
      <c r="Q108" s="8" t="s">
        <v>45</v>
      </c>
      <c r="R108" s="10" t="s">
        <v>783</v>
      </c>
      <c r="S108" s="11" t="s">
        <v>784</v>
      </c>
      <c r="T108" s="6"/>
      <c r="U108" s="24" t="str">
        <f>HYPERLINK("https://media.infra-m.ru/2174/2174263/cover/2174263.jpg", "Обложка")</f>
        <v>Обложка</v>
      </c>
      <c r="V108" s="24" t="str">
        <f>HYPERLINK("https://znanium.ru/catalog/product/2174263", "Ознакомиться")</f>
        <v>Ознакомиться</v>
      </c>
      <c r="W108" s="8" t="s">
        <v>785</v>
      </c>
      <c r="X108" s="6"/>
      <c r="Y108" s="6" t="s">
        <v>30</v>
      </c>
      <c r="Z108" s="6" t="s">
        <v>48</v>
      </c>
      <c r="AA108" s="6" t="s">
        <v>111</v>
      </c>
      <c r="AB108" s="8"/>
    </row>
    <row r="109" spans="1:28" s="4" customFormat="1" ht="51.95" customHeight="1">
      <c r="A109" s="5">
        <v>0</v>
      </c>
      <c r="B109" s="6" t="s">
        <v>786</v>
      </c>
      <c r="C109" s="7">
        <v>1047</v>
      </c>
      <c r="D109" s="8" t="s">
        <v>787</v>
      </c>
      <c r="E109" s="8" t="s">
        <v>788</v>
      </c>
      <c r="F109" s="8" t="s">
        <v>789</v>
      </c>
      <c r="G109" s="6" t="s">
        <v>67</v>
      </c>
      <c r="H109" s="6" t="s">
        <v>54</v>
      </c>
      <c r="I109" s="8" t="s">
        <v>40</v>
      </c>
      <c r="J109" s="9">
        <v>1</v>
      </c>
      <c r="K109" s="9">
        <v>160</v>
      </c>
      <c r="L109" s="9">
        <v>2025</v>
      </c>
      <c r="M109" s="8" t="s">
        <v>790</v>
      </c>
      <c r="N109" s="8" t="s">
        <v>42</v>
      </c>
      <c r="O109" s="8" t="s">
        <v>169</v>
      </c>
      <c r="P109" s="6" t="s">
        <v>44</v>
      </c>
      <c r="Q109" s="8" t="s">
        <v>45</v>
      </c>
      <c r="R109" s="10" t="s">
        <v>791</v>
      </c>
      <c r="S109" s="11" t="s">
        <v>276</v>
      </c>
      <c r="T109" s="6"/>
      <c r="U109" s="24" t="str">
        <f>HYPERLINK("https://media.infra-m.ru/2173/2173301/cover/2173301.jpg", "Обложка")</f>
        <v>Обложка</v>
      </c>
      <c r="V109" s="24" t="str">
        <f>HYPERLINK("https://znanium.ru/catalog/product/2202568", "Ознакомиться")</f>
        <v>Ознакомиться</v>
      </c>
      <c r="W109" s="8" t="s">
        <v>792</v>
      </c>
      <c r="X109" s="6"/>
      <c r="Y109" s="6"/>
      <c r="Z109" s="6"/>
      <c r="AA109" s="6" t="s">
        <v>278</v>
      </c>
      <c r="AB109" s="8"/>
    </row>
    <row r="110" spans="1:28" s="4" customFormat="1" ht="51.95" customHeight="1">
      <c r="A110" s="5">
        <v>0</v>
      </c>
      <c r="B110" s="6" t="s">
        <v>793</v>
      </c>
      <c r="C110" s="7">
        <v>1070</v>
      </c>
      <c r="D110" s="8" t="s">
        <v>794</v>
      </c>
      <c r="E110" s="8" t="s">
        <v>795</v>
      </c>
      <c r="F110" s="8" t="s">
        <v>796</v>
      </c>
      <c r="G110" s="6" t="s">
        <v>90</v>
      </c>
      <c r="H110" s="6" t="s">
        <v>54</v>
      </c>
      <c r="I110" s="8" t="s">
        <v>40</v>
      </c>
      <c r="J110" s="9">
        <v>1</v>
      </c>
      <c r="K110" s="9">
        <v>206</v>
      </c>
      <c r="L110" s="9">
        <v>2025</v>
      </c>
      <c r="M110" s="8" t="s">
        <v>797</v>
      </c>
      <c r="N110" s="8" t="s">
        <v>125</v>
      </c>
      <c r="O110" s="8" t="s">
        <v>798</v>
      </c>
      <c r="P110" s="6" t="s">
        <v>44</v>
      </c>
      <c r="Q110" s="8" t="s">
        <v>45</v>
      </c>
      <c r="R110" s="10" t="s">
        <v>799</v>
      </c>
      <c r="S110" s="11"/>
      <c r="T110" s="6"/>
      <c r="U110" s="24" t="str">
        <f>HYPERLINK("https://media.infra-m.ru/2199/2199490/cover/2199490.jpg", "Обложка")</f>
        <v>Обложка</v>
      </c>
      <c r="V110" s="24" t="str">
        <f>HYPERLINK("https://znanium.ru/catalog/product/2157634", "Ознакомиться")</f>
        <v>Ознакомиться</v>
      </c>
      <c r="W110" s="8" t="s">
        <v>800</v>
      </c>
      <c r="X110" s="6"/>
      <c r="Y110" s="6"/>
      <c r="Z110" s="6" t="s">
        <v>48</v>
      </c>
      <c r="AA110" s="6" t="s">
        <v>84</v>
      </c>
      <c r="AB110" s="8" t="s">
        <v>801</v>
      </c>
    </row>
    <row r="111" spans="1:28" s="4" customFormat="1" ht="51.95" customHeight="1">
      <c r="A111" s="5">
        <v>0</v>
      </c>
      <c r="B111" s="6" t="s">
        <v>802</v>
      </c>
      <c r="C111" s="7">
        <v>1614</v>
      </c>
      <c r="D111" s="8" t="s">
        <v>803</v>
      </c>
      <c r="E111" s="8" t="s">
        <v>804</v>
      </c>
      <c r="F111" s="8" t="s">
        <v>805</v>
      </c>
      <c r="G111" s="6" t="s">
        <v>90</v>
      </c>
      <c r="H111" s="6" t="s">
        <v>54</v>
      </c>
      <c r="I111" s="8" t="s">
        <v>40</v>
      </c>
      <c r="J111" s="9">
        <v>1</v>
      </c>
      <c r="K111" s="9">
        <v>319</v>
      </c>
      <c r="L111" s="9">
        <v>2025</v>
      </c>
      <c r="M111" s="8" t="s">
        <v>806</v>
      </c>
      <c r="N111" s="8" t="s">
        <v>56</v>
      </c>
      <c r="O111" s="8" t="s">
        <v>807</v>
      </c>
      <c r="P111" s="6" t="s">
        <v>58</v>
      </c>
      <c r="Q111" s="8" t="s">
        <v>45</v>
      </c>
      <c r="R111" s="10" t="s">
        <v>808</v>
      </c>
      <c r="S111" s="11" t="s">
        <v>809</v>
      </c>
      <c r="T111" s="6"/>
      <c r="U111" s="24" t="str">
        <f>HYPERLINK("https://media.infra-m.ru/2187/2187630/cover/2187630.jpg", "Обложка")</f>
        <v>Обложка</v>
      </c>
      <c r="V111" s="24" t="str">
        <f>HYPERLINK("https://znanium.ru/catalog/product/2184816", "Ознакомиться")</f>
        <v>Ознакомиться</v>
      </c>
      <c r="W111" s="8" t="s">
        <v>180</v>
      </c>
      <c r="X111" s="6"/>
      <c r="Y111" s="6" t="s">
        <v>30</v>
      </c>
      <c r="Z111" s="6"/>
      <c r="AA111" s="6" t="s">
        <v>810</v>
      </c>
      <c r="AB111" s="8"/>
    </row>
    <row r="112" spans="1:28" s="4" customFormat="1" ht="51.95" customHeight="1">
      <c r="A112" s="5">
        <v>0</v>
      </c>
      <c r="B112" s="6" t="s">
        <v>811</v>
      </c>
      <c r="C112" s="7">
        <v>2354</v>
      </c>
      <c r="D112" s="8" t="s">
        <v>812</v>
      </c>
      <c r="E112" s="8" t="s">
        <v>813</v>
      </c>
      <c r="F112" s="8" t="s">
        <v>814</v>
      </c>
      <c r="G112" s="6" t="s">
        <v>90</v>
      </c>
      <c r="H112" s="6" t="s">
        <v>39</v>
      </c>
      <c r="I112" s="8" t="s">
        <v>40</v>
      </c>
      <c r="J112" s="9">
        <v>1</v>
      </c>
      <c r="K112" s="9">
        <v>511</v>
      </c>
      <c r="L112" s="9">
        <v>2024</v>
      </c>
      <c r="M112" s="8" t="s">
        <v>815</v>
      </c>
      <c r="N112" s="8" t="s">
        <v>42</v>
      </c>
      <c r="O112" s="8" t="s">
        <v>43</v>
      </c>
      <c r="P112" s="6" t="s">
        <v>58</v>
      </c>
      <c r="Q112" s="8" t="s">
        <v>45</v>
      </c>
      <c r="R112" s="10" t="s">
        <v>816</v>
      </c>
      <c r="S112" s="11" t="s">
        <v>817</v>
      </c>
      <c r="T112" s="6"/>
      <c r="U112" s="24" t="str">
        <f>HYPERLINK("https://media.infra-m.ru/2110/2110930/cover/2110930.jpg", "Обложка")</f>
        <v>Обложка</v>
      </c>
      <c r="V112" s="24" t="str">
        <f>HYPERLINK("https://znanium.ru/catalog/product/2083334", "Ознакомиться")</f>
        <v>Ознакомиться</v>
      </c>
      <c r="W112" s="8" t="s">
        <v>818</v>
      </c>
      <c r="X112" s="6"/>
      <c r="Y112" s="6" t="s">
        <v>30</v>
      </c>
      <c r="Z112" s="6"/>
      <c r="AA112" s="6" t="s">
        <v>819</v>
      </c>
      <c r="AB112" s="8"/>
    </row>
    <row r="113" spans="1:28" s="4" customFormat="1" ht="51.95" customHeight="1">
      <c r="A113" s="5">
        <v>0</v>
      </c>
      <c r="B113" s="6" t="s">
        <v>820</v>
      </c>
      <c r="C113" s="7">
        <v>2004</v>
      </c>
      <c r="D113" s="8" t="s">
        <v>821</v>
      </c>
      <c r="E113" s="8" t="s">
        <v>822</v>
      </c>
      <c r="F113" s="8" t="s">
        <v>823</v>
      </c>
      <c r="G113" s="6" t="s">
        <v>90</v>
      </c>
      <c r="H113" s="6" t="s">
        <v>824</v>
      </c>
      <c r="I113" s="8" t="s">
        <v>40</v>
      </c>
      <c r="J113" s="9">
        <v>1</v>
      </c>
      <c r="K113" s="9">
        <v>384</v>
      </c>
      <c r="L113" s="9">
        <v>2026</v>
      </c>
      <c r="M113" s="8" t="s">
        <v>825</v>
      </c>
      <c r="N113" s="8" t="s">
        <v>42</v>
      </c>
      <c r="O113" s="8" t="s">
        <v>43</v>
      </c>
      <c r="P113" s="6" t="s">
        <v>58</v>
      </c>
      <c r="Q113" s="8" t="s">
        <v>45</v>
      </c>
      <c r="R113" s="10" t="s">
        <v>826</v>
      </c>
      <c r="S113" s="11"/>
      <c r="T113" s="6"/>
      <c r="U113" s="24" t="str">
        <f>HYPERLINK("https://media.infra-m.ru/2212/2212139/cover/2212139.jpg", "Обложка")</f>
        <v>Обложка</v>
      </c>
      <c r="V113" s="24" t="str">
        <f>HYPERLINK("https://znanium.ru/catalog/product/1916205", "Ознакомиться")</f>
        <v>Ознакомиться</v>
      </c>
      <c r="W113" s="8" t="s">
        <v>827</v>
      </c>
      <c r="X113" s="6"/>
      <c r="Y113" s="6" t="s">
        <v>30</v>
      </c>
      <c r="Z113" s="6"/>
      <c r="AA113" s="6" t="s">
        <v>766</v>
      </c>
      <c r="AB113" s="8"/>
    </row>
    <row r="114" spans="1:28" s="4" customFormat="1" ht="51.95" customHeight="1">
      <c r="A114" s="5">
        <v>0</v>
      </c>
      <c r="B114" s="6" t="s">
        <v>828</v>
      </c>
      <c r="C114" s="7">
        <v>1924</v>
      </c>
      <c r="D114" s="8" t="s">
        <v>829</v>
      </c>
      <c r="E114" s="8" t="s">
        <v>830</v>
      </c>
      <c r="F114" s="8" t="s">
        <v>831</v>
      </c>
      <c r="G114" s="6" t="s">
        <v>90</v>
      </c>
      <c r="H114" s="6" t="s">
        <v>299</v>
      </c>
      <c r="I114" s="8" t="s">
        <v>40</v>
      </c>
      <c r="J114" s="9">
        <v>1</v>
      </c>
      <c r="K114" s="9">
        <v>383</v>
      </c>
      <c r="L114" s="9">
        <v>2025</v>
      </c>
      <c r="M114" s="8" t="s">
        <v>832</v>
      </c>
      <c r="N114" s="8" t="s">
        <v>42</v>
      </c>
      <c r="O114" s="8" t="s">
        <v>43</v>
      </c>
      <c r="P114" s="6" t="s">
        <v>44</v>
      </c>
      <c r="Q114" s="8" t="s">
        <v>45</v>
      </c>
      <c r="R114" s="10" t="s">
        <v>833</v>
      </c>
      <c r="S114" s="11" t="s">
        <v>420</v>
      </c>
      <c r="T114" s="6"/>
      <c r="U114" s="24" t="str">
        <f>HYPERLINK("https://media.infra-m.ru/2188/2188216/cover/2188216.jpg", "Обложка")</f>
        <v>Обложка</v>
      </c>
      <c r="V114" s="24" t="str">
        <f>HYPERLINK("https://znanium.ru/catalog/product/2183869", "Ознакомиться")</f>
        <v>Ознакомиться</v>
      </c>
      <c r="W114" s="8" t="s">
        <v>834</v>
      </c>
      <c r="X114" s="6"/>
      <c r="Y114" s="6" t="s">
        <v>30</v>
      </c>
      <c r="Z114" s="6"/>
      <c r="AA114" s="6" t="s">
        <v>835</v>
      </c>
      <c r="AB114" s="8"/>
    </row>
    <row r="115" spans="1:28" s="4" customFormat="1" ht="51.95" customHeight="1">
      <c r="A115" s="5">
        <v>0</v>
      </c>
      <c r="B115" s="6" t="s">
        <v>836</v>
      </c>
      <c r="C115" s="7">
        <v>1460</v>
      </c>
      <c r="D115" s="8" t="s">
        <v>837</v>
      </c>
      <c r="E115" s="8" t="s">
        <v>838</v>
      </c>
      <c r="F115" s="8" t="s">
        <v>839</v>
      </c>
      <c r="G115" s="6" t="s">
        <v>90</v>
      </c>
      <c r="H115" s="6" t="s">
        <v>54</v>
      </c>
      <c r="I115" s="8" t="s">
        <v>40</v>
      </c>
      <c r="J115" s="9">
        <v>1</v>
      </c>
      <c r="K115" s="9">
        <v>280</v>
      </c>
      <c r="L115" s="9">
        <v>2025</v>
      </c>
      <c r="M115" s="8" t="s">
        <v>840</v>
      </c>
      <c r="N115" s="8" t="s">
        <v>56</v>
      </c>
      <c r="O115" s="8" t="s">
        <v>807</v>
      </c>
      <c r="P115" s="6" t="s">
        <v>44</v>
      </c>
      <c r="Q115" s="8" t="s">
        <v>45</v>
      </c>
      <c r="R115" s="10" t="s">
        <v>841</v>
      </c>
      <c r="S115" s="11" t="s">
        <v>842</v>
      </c>
      <c r="T115" s="6"/>
      <c r="U115" s="24" t="str">
        <f>HYPERLINK("https://media.infra-m.ru/2184/2184818/cover/2184818.jpg", "Обложка")</f>
        <v>Обложка</v>
      </c>
      <c r="V115" s="24" t="str">
        <f>HYPERLINK("https://znanium.ru/catalog/product/2184818", "Ознакомиться")</f>
        <v>Ознакомиться</v>
      </c>
      <c r="W115" s="8" t="s">
        <v>190</v>
      </c>
      <c r="X115" s="6"/>
      <c r="Y115" s="6"/>
      <c r="Z115" s="6" t="s">
        <v>48</v>
      </c>
      <c r="AA115" s="6" t="s">
        <v>111</v>
      </c>
      <c r="AB115" s="8"/>
    </row>
    <row r="116" spans="1:28" s="4" customFormat="1" ht="51.95" customHeight="1">
      <c r="A116" s="5">
        <v>0</v>
      </c>
      <c r="B116" s="6" t="s">
        <v>843</v>
      </c>
      <c r="C116" s="7">
        <v>1364</v>
      </c>
      <c r="D116" s="8" t="s">
        <v>844</v>
      </c>
      <c r="E116" s="8" t="s">
        <v>845</v>
      </c>
      <c r="F116" s="8" t="s">
        <v>846</v>
      </c>
      <c r="G116" s="6" t="s">
        <v>90</v>
      </c>
      <c r="H116" s="6" t="s">
        <v>54</v>
      </c>
      <c r="I116" s="8" t="s">
        <v>40</v>
      </c>
      <c r="J116" s="9">
        <v>1</v>
      </c>
      <c r="K116" s="9">
        <v>272</v>
      </c>
      <c r="L116" s="9">
        <v>2025</v>
      </c>
      <c r="M116" s="8" t="s">
        <v>847</v>
      </c>
      <c r="N116" s="8" t="s">
        <v>125</v>
      </c>
      <c r="O116" s="8" t="s">
        <v>126</v>
      </c>
      <c r="P116" s="6" t="s">
        <v>44</v>
      </c>
      <c r="Q116" s="8" t="s">
        <v>45</v>
      </c>
      <c r="R116" s="10" t="s">
        <v>848</v>
      </c>
      <c r="S116" s="11" t="s">
        <v>849</v>
      </c>
      <c r="T116" s="6"/>
      <c r="U116" s="24" t="str">
        <f>HYPERLINK("https://media.infra-m.ru/2173/2173329/cover/2173329.jpg", "Обложка")</f>
        <v>Обложка</v>
      </c>
      <c r="V116" s="24" t="str">
        <f>HYPERLINK("https://znanium.ru/catalog/product/1876328", "Ознакомиться")</f>
        <v>Ознакомиться</v>
      </c>
      <c r="W116" s="8" t="s">
        <v>850</v>
      </c>
      <c r="X116" s="6"/>
      <c r="Y116" s="6"/>
      <c r="Z116" s="6" t="s">
        <v>48</v>
      </c>
      <c r="AA116" s="6" t="s">
        <v>111</v>
      </c>
      <c r="AB116" s="8"/>
    </row>
    <row r="117" spans="1:28" s="4" customFormat="1" ht="51.95" customHeight="1">
      <c r="A117" s="5">
        <v>0</v>
      </c>
      <c r="B117" s="6" t="s">
        <v>851</v>
      </c>
      <c r="C117" s="13">
        <v>650</v>
      </c>
      <c r="D117" s="8" t="s">
        <v>852</v>
      </c>
      <c r="E117" s="8" t="s">
        <v>853</v>
      </c>
      <c r="F117" s="8" t="s">
        <v>854</v>
      </c>
      <c r="G117" s="6" t="s">
        <v>67</v>
      </c>
      <c r="H117" s="6" t="s">
        <v>54</v>
      </c>
      <c r="I117" s="8" t="s">
        <v>40</v>
      </c>
      <c r="J117" s="9">
        <v>1</v>
      </c>
      <c r="K117" s="9">
        <v>127</v>
      </c>
      <c r="L117" s="9">
        <v>2023</v>
      </c>
      <c r="M117" s="8" t="s">
        <v>855</v>
      </c>
      <c r="N117" s="8" t="s">
        <v>535</v>
      </c>
      <c r="O117" s="8" t="s">
        <v>856</v>
      </c>
      <c r="P117" s="6" t="s">
        <v>44</v>
      </c>
      <c r="Q117" s="8" t="s">
        <v>45</v>
      </c>
      <c r="R117" s="10" t="s">
        <v>857</v>
      </c>
      <c r="S117" s="11" t="s">
        <v>858</v>
      </c>
      <c r="T117" s="6"/>
      <c r="U117" s="24" t="str">
        <f>HYPERLINK("https://media.infra-m.ru/1912/1912949/cover/1912949.jpg", "Обложка")</f>
        <v>Обложка</v>
      </c>
      <c r="V117" s="24" t="str">
        <f>HYPERLINK("https://znanium.ru/catalog/product/1912949", "Ознакомиться")</f>
        <v>Ознакомиться</v>
      </c>
      <c r="W117" s="8" t="s">
        <v>859</v>
      </c>
      <c r="X117" s="6"/>
      <c r="Y117" s="6"/>
      <c r="Z117" s="6"/>
      <c r="AA117" s="6" t="s">
        <v>443</v>
      </c>
      <c r="AB117" s="8" t="s">
        <v>860</v>
      </c>
    </row>
    <row r="118" spans="1:28" s="4" customFormat="1" ht="51.95" customHeight="1">
      <c r="A118" s="5">
        <v>0</v>
      </c>
      <c r="B118" s="6" t="s">
        <v>861</v>
      </c>
      <c r="C118" s="7">
        <v>1504</v>
      </c>
      <c r="D118" s="8" t="s">
        <v>862</v>
      </c>
      <c r="E118" s="8" t="s">
        <v>863</v>
      </c>
      <c r="F118" s="8" t="s">
        <v>864</v>
      </c>
      <c r="G118" s="6" t="s">
        <v>90</v>
      </c>
      <c r="H118" s="6" t="s">
        <v>54</v>
      </c>
      <c r="I118" s="8" t="s">
        <v>40</v>
      </c>
      <c r="J118" s="9">
        <v>1</v>
      </c>
      <c r="K118" s="9">
        <v>272</v>
      </c>
      <c r="L118" s="9">
        <v>2026</v>
      </c>
      <c r="M118" s="8" t="s">
        <v>865</v>
      </c>
      <c r="N118" s="8" t="s">
        <v>535</v>
      </c>
      <c r="O118" s="8" t="s">
        <v>856</v>
      </c>
      <c r="P118" s="6" t="s">
        <v>44</v>
      </c>
      <c r="Q118" s="8" t="s">
        <v>45</v>
      </c>
      <c r="R118" s="10" t="s">
        <v>866</v>
      </c>
      <c r="S118" s="11" t="s">
        <v>867</v>
      </c>
      <c r="T118" s="6"/>
      <c r="U118" s="24" t="str">
        <f>HYPERLINK("https://media.infra-m.ru/2227/2227485/cover/2227485.jpg", "Обложка")</f>
        <v>Обложка</v>
      </c>
      <c r="V118" s="24" t="str">
        <f>HYPERLINK("https://znanium.ru/catalog/product/1843982", "Ознакомиться")</f>
        <v>Ознакомиться</v>
      </c>
      <c r="W118" s="8" t="s">
        <v>868</v>
      </c>
      <c r="X118" s="6"/>
      <c r="Y118" s="6"/>
      <c r="Z118" s="6"/>
      <c r="AA118" s="6" t="s">
        <v>740</v>
      </c>
      <c r="AB118" s="8" t="s">
        <v>869</v>
      </c>
    </row>
    <row r="119" spans="1:28" s="4" customFormat="1" ht="51.95" customHeight="1">
      <c r="A119" s="5">
        <v>0</v>
      </c>
      <c r="B119" s="6" t="s">
        <v>870</v>
      </c>
      <c r="C119" s="7">
        <v>1999</v>
      </c>
      <c r="D119" s="8" t="s">
        <v>871</v>
      </c>
      <c r="E119" s="8" t="s">
        <v>863</v>
      </c>
      <c r="F119" s="8" t="s">
        <v>872</v>
      </c>
      <c r="G119" s="6" t="s">
        <v>90</v>
      </c>
      <c r="H119" s="6" t="s">
        <v>54</v>
      </c>
      <c r="I119" s="8" t="s">
        <v>40</v>
      </c>
      <c r="J119" s="9">
        <v>1</v>
      </c>
      <c r="K119" s="9">
        <v>359</v>
      </c>
      <c r="L119" s="9">
        <v>2025</v>
      </c>
      <c r="M119" s="8" t="s">
        <v>873</v>
      </c>
      <c r="N119" s="8" t="s">
        <v>535</v>
      </c>
      <c r="O119" s="8" t="s">
        <v>856</v>
      </c>
      <c r="P119" s="6" t="s">
        <v>44</v>
      </c>
      <c r="Q119" s="8" t="s">
        <v>45</v>
      </c>
      <c r="R119" s="10" t="s">
        <v>874</v>
      </c>
      <c r="S119" s="11" t="s">
        <v>875</v>
      </c>
      <c r="T119" s="6"/>
      <c r="U119" s="24" t="str">
        <f>HYPERLINK("https://media.infra-m.ru/2204/2204894/cover/2204894.jpg", "Обложка")</f>
        <v>Обложка</v>
      </c>
      <c r="V119" s="24" t="str">
        <f>HYPERLINK("https://znanium.ru/catalog/product/2204894", "Ознакомиться")</f>
        <v>Ознакомиться</v>
      </c>
      <c r="W119" s="8" t="s">
        <v>876</v>
      </c>
      <c r="X119" s="6"/>
      <c r="Y119" s="6"/>
      <c r="Z119" s="6"/>
      <c r="AA119" s="6" t="s">
        <v>223</v>
      </c>
      <c r="AB119" s="8"/>
    </row>
    <row r="120" spans="1:28" s="4" customFormat="1" ht="51.95" customHeight="1">
      <c r="A120" s="5">
        <v>0</v>
      </c>
      <c r="B120" s="6" t="s">
        <v>877</v>
      </c>
      <c r="C120" s="7">
        <v>1664.9</v>
      </c>
      <c r="D120" s="8" t="s">
        <v>878</v>
      </c>
      <c r="E120" s="8" t="s">
        <v>879</v>
      </c>
      <c r="F120" s="8" t="s">
        <v>880</v>
      </c>
      <c r="G120" s="6" t="s">
        <v>38</v>
      </c>
      <c r="H120" s="6" t="s">
        <v>54</v>
      </c>
      <c r="I120" s="8" t="s">
        <v>40</v>
      </c>
      <c r="J120" s="9">
        <v>1</v>
      </c>
      <c r="K120" s="9">
        <v>370</v>
      </c>
      <c r="L120" s="9">
        <v>2023</v>
      </c>
      <c r="M120" s="8" t="s">
        <v>881</v>
      </c>
      <c r="N120" s="8" t="s">
        <v>125</v>
      </c>
      <c r="O120" s="8" t="s">
        <v>432</v>
      </c>
      <c r="P120" s="6" t="s">
        <v>58</v>
      </c>
      <c r="Q120" s="8" t="s">
        <v>45</v>
      </c>
      <c r="R120" s="10" t="s">
        <v>882</v>
      </c>
      <c r="S120" s="11" t="s">
        <v>883</v>
      </c>
      <c r="T120" s="6"/>
      <c r="U120" s="24" t="str">
        <f>HYPERLINK("https://media.infra-m.ru/1976/1976142/cover/1976142.jpg", "Обложка")</f>
        <v>Обложка</v>
      </c>
      <c r="V120" s="24" t="str">
        <f>HYPERLINK("https://znanium.ru/catalog/product/1016620", "Ознакомиться")</f>
        <v>Ознакомиться</v>
      </c>
      <c r="W120" s="8" t="s">
        <v>146</v>
      </c>
      <c r="X120" s="6"/>
      <c r="Y120" s="6"/>
      <c r="Z120" s="6" t="s">
        <v>48</v>
      </c>
      <c r="AA120" s="6" t="s">
        <v>111</v>
      </c>
      <c r="AB120" s="8"/>
    </row>
    <row r="121" spans="1:28" s="4" customFormat="1" ht="51.95" customHeight="1">
      <c r="A121" s="5">
        <v>0</v>
      </c>
      <c r="B121" s="6" t="s">
        <v>884</v>
      </c>
      <c r="C121" s="7">
        <v>1570</v>
      </c>
      <c r="D121" s="8" t="s">
        <v>885</v>
      </c>
      <c r="E121" s="8" t="s">
        <v>886</v>
      </c>
      <c r="F121" s="8" t="s">
        <v>887</v>
      </c>
      <c r="G121" s="6" t="s">
        <v>90</v>
      </c>
      <c r="H121" s="6" t="s">
        <v>54</v>
      </c>
      <c r="I121" s="8" t="s">
        <v>40</v>
      </c>
      <c r="J121" s="9">
        <v>1</v>
      </c>
      <c r="K121" s="9">
        <v>286</v>
      </c>
      <c r="L121" s="9">
        <v>2026</v>
      </c>
      <c r="M121" s="8" t="s">
        <v>888</v>
      </c>
      <c r="N121" s="8" t="s">
        <v>125</v>
      </c>
      <c r="O121" s="8" t="s">
        <v>432</v>
      </c>
      <c r="P121" s="6" t="s">
        <v>44</v>
      </c>
      <c r="Q121" s="8" t="s">
        <v>45</v>
      </c>
      <c r="R121" s="10" t="s">
        <v>889</v>
      </c>
      <c r="S121" s="11" t="s">
        <v>890</v>
      </c>
      <c r="T121" s="6"/>
      <c r="U121" s="24" t="str">
        <f>HYPERLINK("https://media.infra-m.ru/2196/2196778/cover/2196778.jpg", "Обложка")</f>
        <v>Обложка</v>
      </c>
      <c r="V121" s="24" t="str">
        <f>HYPERLINK("https://znanium.ru/catalog/product/2196778", "Ознакомиться")</f>
        <v>Ознакомиться</v>
      </c>
      <c r="W121" s="8"/>
      <c r="X121" s="6"/>
      <c r="Y121" s="6"/>
      <c r="Z121" s="6"/>
      <c r="AA121" s="6" t="s">
        <v>891</v>
      </c>
      <c r="AB121" s="8"/>
    </row>
    <row r="122" spans="1:28" s="4" customFormat="1" ht="51.95" customHeight="1">
      <c r="A122" s="5">
        <v>0</v>
      </c>
      <c r="B122" s="6" t="s">
        <v>892</v>
      </c>
      <c r="C122" s="13">
        <v>880</v>
      </c>
      <c r="D122" s="8" t="s">
        <v>893</v>
      </c>
      <c r="E122" s="8" t="s">
        <v>894</v>
      </c>
      <c r="F122" s="8" t="s">
        <v>895</v>
      </c>
      <c r="G122" s="6" t="s">
        <v>90</v>
      </c>
      <c r="H122" s="6" t="s">
        <v>54</v>
      </c>
      <c r="I122" s="8" t="s">
        <v>40</v>
      </c>
      <c r="J122" s="9">
        <v>1</v>
      </c>
      <c r="K122" s="9">
        <v>272</v>
      </c>
      <c r="L122" s="9">
        <v>2019</v>
      </c>
      <c r="M122" s="8" t="s">
        <v>896</v>
      </c>
      <c r="N122" s="8" t="s">
        <v>125</v>
      </c>
      <c r="O122" s="8" t="s">
        <v>432</v>
      </c>
      <c r="P122" s="6" t="s">
        <v>58</v>
      </c>
      <c r="Q122" s="8" t="s">
        <v>45</v>
      </c>
      <c r="R122" s="10" t="s">
        <v>897</v>
      </c>
      <c r="S122" s="11" t="s">
        <v>898</v>
      </c>
      <c r="T122" s="6" t="s">
        <v>118</v>
      </c>
      <c r="U122" s="24" t="str">
        <f>HYPERLINK("https://media.infra-m.ru/1008/1008371/cover/1008371.jpg", "Обложка")</f>
        <v>Обложка</v>
      </c>
      <c r="V122" s="24" t="str">
        <f>HYPERLINK("https://znanium.ru/catalog/product/2224062", "Ознакомиться")</f>
        <v>Ознакомиться</v>
      </c>
      <c r="W122" s="8" t="s">
        <v>899</v>
      </c>
      <c r="X122" s="6"/>
      <c r="Y122" s="6"/>
      <c r="Z122" s="6" t="s">
        <v>48</v>
      </c>
      <c r="AA122" s="6" t="s">
        <v>111</v>
      </c>
      <c r="AB122" s="8"/>
    </row>
    <row r="123" spans="1:28" s="4" customFormat="1" ht="51.95" customHeight="1">
      <c r="A123" s="5">
        <v>0</v>
      </c>
      <c r="B123" s="6" t="s">
        <v>900</v>
      </c>
      <c r="C123" s="7">
        <v>1550</v>
      </c>
      <c r="D123" s="8" t="s">
        <v>901</v>
      </c>
      <c r="E123" s="8" t="s">
        <v>902</v>
      </c>
      <c r="F123" s="8" t="s">
        <v>895</v>
      </c>
      <c r="G123" s="6" t="s">
        <v>90</v>
      </c>
      <c r="H123" s="6" t="s">
        <v>54</v>
      </c>
      <c r="I123" s="8" t="s">
        <v>40</v>
      </c>
      <c r="J123" s="9">
        <v>1</v>
      </c>
      <c r="K123" s="9">
        <v>281</v>
      </c>
      <c r="L123" s="9">
        <v>2026</v>
      </c>
      <c r="M123" s="8" t="s">
        <v>903</v>
      </c>
      <c r="N123" s="8" t="s">
        <v>125</v>
      </c>
      <c r="O123" s="8" t="s">
        <v>432</v>
      </c>
      <c r="P123" s="6" t="s">
        <v>58</v>
      </c>
      <c r="Q123" s="8" t="s">
        <v>45</v>
      </c>
      <c r="R123" s="10" t="s">
        <v>897</v>
      </c>
      <c r="S123" s="11" t="s">
        <v>898</v>
      </c>
      <c r="T123" s="6" t="s">
        <v>118</v>
      </c>
      <c r="U123" s="24" t="str">
        <f>HYPERLINK("https://media.infra-m.ru/2224/2224062/cover/2224062.jpg", "Обложка")</f>
        <v>Обложка</v>
      </c>
      <c r="V123" s="24" t="str">
        <f>HYPERLINK("https://znanium.ru/catalog/product/2224062", "Ознакомиться")</f>
        <v>Ознакомиться</v>
      </c>
      <c r="W123" s="8" t="s">
        <v>899</v>
      </c>
      <c r="X123" s="6"/>
      <c r="Y123" s="6"/>
      <c r="Z123" s="6" t="s">
        <v>48</v>
      </c>
      <c r="AA123" s="6" t="s">
        <v>362</v>
      </c>
      <c r="AB123" s="8"/>
    </row>
    <row r="124" spans="1:28" s="4" customFormat="1" ht="42" customHeight="1">
      <c r="A124" s="5">
        <v>0</v>
      </c>
      <c r="B124" s="6" t="s">
        <v>904</v>
      </c>
      <c r="C124" s="7">
        <v>1630</v>
      </c>
      <c r="D124" s="8" t="s">
        <v>905</v>
      </c>
      <c r="E124" s="8" t="s">
        <v>894</v>
      </c>
      <c r="F124" s="8" t="s">
        <v>906</v>
      </c>
      <c r="G124" s="6" t="s">
        <v>38</v>
      </c>
      <c r="H124" s="6" t="s">
        <v>54</v>
      </c>
      <c r="I124" s="8" t="s">
        <v>40</v>
      </c>
      <c r="J124" s="9">
        <v>1</v>
      </c>
      <c r="K124" s="9">
        <v>306</v>
      </c>
      <c r="L124" s="9">
        <v>2025</v>
      </c>
      <c r="M124" s="8" t="s">
        <v>907</v>
      </c>
      <c r="N124" s="8" t="s">
        <v>125</v>
      </c>
      <c r="O124" s="8" t="s">
        <v>432</v>
      </c>
      <c r="P124" s="6" t="s">
        <v>58</v>
      </c>
      <c r="Q124" s="8" t="s">
        <v>45</v>
      </c>
      <c r="R124" s="10" t="s">
        <v>908</v>
      </c>
      <c r="S124" s="11"/>
      <c r="T124" s="6"/>
      <c r="U124" s="24" t="str">
        <f>HYPERLINK("https://media.infra-m.ru/2167/2167451/cover/2167451.jpg", "Обложка")</f>
        <v>Обложка</v>
      </c>
      <c r="V124" s="24" t="str">
        <f>HYPERLINK("https://znanium.ru/catalog/product/2167451", "Ознакомиться")</f>
        <v>Ознакомиться</v>
      </c>
      <c r="W124" s="8" t="s">
        <v>909</v>
      </c>
      <c r="X124" s="6" t="s">
        <v>450</v>
      </c>
      <c r="Y124" s="6"/>
      <c r="Z124" s="6"/>
      <c r="AA124" s="6" t="s">
        <v>84</v>
      </c>
      <c r="AB124" s="8"/>
    </row>
    <row r="125" spans="1:28" s="4" customFormat="1" ht="51.95" customHeight="1">
      <c r="A125" s="5">
        <v>0</v>
      </c>
      <c r="B125" s="6" t="s">
        <v>910</v>
      </c>
      <c r="C125" s="13">
        <v>670</v>
      </c>
      <c r="D125" s="8" t="s">
        <v>911</v>
      </c>
      <c r="E125" s="8" t="s">
        <v>894</v>
      </c>
      <c r="F125" s="8" t="s">
        <v>912</v>
      </c>
      <c r="G125" s="6" t="s">
        <v>90</v>
      </c>
      <c r="H125" s="6" t="s">
        <v>134</v>
      </c>
      <c r="I125" s="8" t="s">
        <v>40</v>
      </c>
      <c r="J125" s="9">
        <v>1</v>
      </c>
      <c r="K125" s="9">
        <v>196</v>
      </c>
      <c r="L125" s="9">
        <v>2020</v>
      </c>
      <c r="M125" s="8" t="s">
        <v>913</v>
      </c>
      <c r="N125" s="8" t="s">
        <v>125</v>
      </c>
      <c r="O125" s="8" t="s">
        <v>432</v>
      </c>
      <c r="P125" s="6" t="s">
        <v>44</v>
      </c>
      <c r="Q125" s="8" t="s">
        <v>45</v>
      </c>
      <c r="R125" s="10" t="s">
        <v>914</v>
      </c>
      <c r="S125" s="11" t="s">
        <v>915</v>
      </c>
      <c r="T125" s="6" t="s">
        <v>118</v>
      </c>
      <c r="U125" s="24" t="str">
        <f>HYPERLINK("https://media.infra-m.ru/1064/1064072/cover/1064072.jpg", "Обложка")</f>
        <v>Обложка</v>
      </c>
      <c r="V125" s="24" t="str">
        <f>HYPERLINK("https://znanium.ru/catalog/product/2221477", "Ознакомиться")</f>
        <v>Ознакомиться</v>
      </c>
      <c r="W125" s="8" t="s">
        <v>916</v>
      </c>
      <c r="X125" s="6"/>
      <c r="Y125" s="6"/>
      <c r="Z125" s="6" t="s">
        <v>48</v>
      </c>
      <c r="AA125" s="6" t="s">
        <v>111</v>
      </c>
      <c r="AB125" s="8"/>
    </row>
    <row r="126" spans="1:28" s="4" customFormat="1" ht="51.95" customHeight="1">
      <c r="A126" s="5">
        <v>0</v>
      </c>
      <c r="B126" s="6" t="s">
        <v>917</v>
      </c>
      <c r="C126" s="7">
        <v>1130</v>
      </c>
      <c r="D126" s="8" t="s">
        <v>918</v>
      </c>
      <c r="E126" s="8" t="s">
        <v>902</v>
      </c>
      <c r="F126" s="8" t="s">
        <v>912</v>
      </c>
      <c r="G126" s="6" t="s">
        <v>90</v>
      </c>
      <c r="H126" s="6" t="s">
        <v>54</v>
      </c>
      <c r="I126" s="8" t="s">
        <v>40</v>
      </c>
      <c r="J126" s="9">
        <v>1</v>
      </c>
      <c r="K126" s="9">
        <v>200</v>
      </c>
      <c r="L126" s="9">
        <v>2026</v>
      </c>
      <c r="M126" s="8" t="s">
        <v>919</v>
      </c>
      <c r="N126" s="8" t="s">
        <v>125</v>
      </c>
      <c r="O126" s="8" t="s">
        <v>432</v>
      </c>
      <c r="P126" s="6" t="s">
        <v>44</v>
      </c>
      <c r="Q126" s="8" t="s">
        <v>45</v>
      </c>
      <c r="R126" s="10" t="s">
        <v>914</v>
      </c>
      <c r="S126" s="11" t="s">
        <v>920</v>
      </c>
      <c r="T126" s="6" t="s">
        <v>118</v>
      </c>
      <c r="U126" s="24" t="str">
        <f>HYPERLINK("https://media.infra-m.ru/2221/2221477/cover/2221477.jpg", "Обложка")</f>
        <v>Обложка</v>
      </c>
      <c r="V126" s="24" t="str">
        <f>HYPERLINK("https://znanium.ru/catalog/product/2221477", "Ознакомиться")</f>
        <v>Ознакомиться</v>
      </c>
      <c r="W126" s="8" t="s">
        <v>916</v>
      </c>
      <c r="X126" s="6"/>
      <c r="Y126" s="6"/>
      <c r="Z126" s="6" t="s">
        <v>48</v>
      </c>
      <c r="AA126" s="6" t="s">
        <v>362</v>
      </c>
      <c r="AB126" s="8"/>
    </row>
    <row r="127" spans="1:28" s="4" customFormat="1" ht="51.95" customHeight="1">
      <c r="A127" s="5">
        <v>0</v>
      </c>
      <c r="B127" s="6" t="s">
        <v>921</v>
      </c>
      <c r="C127" s="7">
        <v>1094</v>
      </c>
      <c r="D127" s="8" t="s">
        <v>922</v>
      </c>
      <c r="E127" s="8" t="s">
        <v>923</v>
      </c>
      <c r="F127" s="8" t="s">
        <v>924</v>
      </c>
      <c r="G127" s="6" t="s">
        <v>90</v>
      </c>
      <c r="H127" s="6" t="s">
        <v>54</v>
      </c>
      <c r="I127" s="8" t="s">
        <v>40</v>
      </c>
      <c r="J127" s="9">
        <v>1</v>
      </c>
      <c r="K127" s="9">
        <v>210</v>
      </c>
      <c r="L127" s="9">
        <v>2026</v>
      </c>
      <c r="M127" s="8" t="s">
        <v>925</v>
      </c>
      <c r="N127" s="8" t="s">
        <v>42</v>
      </c>
      <c r="O127" s="8" t="s">
        <v>43</v>
      </c>
      <c r="P127" s="6" t="s">
        <v>44</v>
      </c>
      <c r="Q127" s="8" t="s">
        <v>45</v>
      </c>
      <c r="R127" s="10" t="s">
        <v>926</v>
      </c>
      <c r="S127" s="11" t="s">
        <v>927</v>
      </c>
      <c r="T127" s="6"/>
      <c r="U127" s="24" t="str">
        <f>HYPERLINK("https://media.infra-m.ru/2212/2212079/cover/2212079.jpg", "Обложка")</f>
        <v>Обложка</v>
      </c>
      <c r="V127" s="24" t="str">
        <f>HYPERLINK("https://znanium.ru/catalog/product/2136720", "Ознакомиться")</f>
        <v>Ознакомиться</v>
      </c>
      <c r="W127" s="8" t="s">
        <v>928</v>
      </c>
      <c r="X127" s="6"/>
      <c r="Y127" s="6"/>
      <c r="Z127" s="6" t="s">
        <v>929</v>
      </c>
      <c r="AA127" s="6" t="s">
        <v>223</v>
      </c>
      <c r="AB127" s="8"/>
    </row>
    <row r="128" spans="1:28" s="4" customFormat="1" ht="51.95" customHeight="1">
      <c r="A128" s="5">
        <v>0</v>
      </c>
      <c r="B128" s="6" t="s">
        <v>930</v>
      </c>
      <c r="C128" s="7">
        <v>2024</v>
      </c>
      <c r="D128" s="8" t="s">
        <v>931</v>
      </c>
      <c r="E128" s="8" t="s">
        <v>932</v>
      </c>
      <c r="F128" s="8" t="s">
        <v>933</v>
      </c>
      <c r="G128" s="6" t="s">
        <v>90</v>
      </c>
      <c r="H128" s="6" t="s">
        <v>299</v>
      </c>
      <c r="I128" s="8" t="s">
        <v>40</v>
      </c>
      <c r="J128" s="9">
        <v>1</v>
      </c>
      <c r="K128" s="9">
        <v>368</v>
      </c>
      <c r="L128" s="9">
        <v>2026</v>
      </c>
      <c r="M128" s="8" t="s">
        <v>934</v>
      </c>
      <c r="N128" s="8" t="s">
        <v>42</v>
      </c>
      <c r="O128" s="8" t="s">
        <v>43</v>
      </c>
      <c r="P128" s="6" t="s">
        <v>44</v>
      </c>
      <c r="Q128" s="8" t="s">
        <v>45</v>
      </c>
      <c r="R128" s="10" t="s">
        <v>935</v>
      </c>
      <c r="S128" s="11" t="s">
        <v>936</v>
      </c>
      <c r="T128" s="6"/>
      <c r="U128" s="24" t="str">
        <f>HYPERLINK("https://media.infra-m.ru/2223/2223572/cover/2223572.jpg", "Обложка")</f>
        <v>Обложка</v>
      </c>
      <c r="V128" s="24" t="str">
        <f>HYPERLINK("https://znanium.ru/catalog/product/2150336", "Ознакомиться")</f>
        <v>Ознакомиться</v>
      </c>
      <c r="W128" s="8" t="s">
        <v>937</v>
      </c>
      <c r="X128" s="6"/>
      <c r="Y128" s="6" t="s">
        <v>30</v>
      </c>
      <c r="Z128" s="6" t="s">
        <v>48</v>
      </c>
      <c r="AA128" s="6" t="s">
        <v>129</v>
      </c>
      <c r="AB128" s="8"/>
    </row>
    <row r="129" spans="1:28" s="4" customFormat="1" ht="51.95" customHeight="1">
      <c r="A129" s="5">
        <v>0</v>
      </c>
      <c r="B129" s="6" t="s">
        <v>938</v>
      </c>
      <c r="C129" s="7">
        <v>1090</v>
      </c>
      <c r="D129" s="8" t="s">
        <v>939</v>
      </c>
      <c r="E129" s="8" t="s">
        <v>940</v>
      </c>
      <c r="F129" s="8" t="s">
        <v>933</v>
      </c>
      <c r="G129" s="6" t="s">
        <v>90</v>
      </c>
      <c r="H129" s="6" t="s">
        <v>54</v>
      </c>
      <c r="I129" s="8" t="s">
        <v>40</v>
      </c>
      <c r="J129" s="9">
        <v>1</v>
      </c>
      <c r="K129" s="9">
        <v>235</v>
      </c>
      <c r="L129" s="9">
        <v>2023</v>
      </c>
      <c r="M129" s="8" t="s">
        <v>941</v>
      </c>
      <c r="N129" s="8" t="s">
        <v>42</v>
      </c>
      <c r="O129" s="8" t="s">
        <v>43</v>
      </c>
      <c r="P129" s="6" t="s">
        <v>44</v>
      </c>
      <c r="Q129" s="8" t="s">
        <v>45</v>
      </c>
      <c r="R129" s="10" t="s">
        <v>942</v>
      </c>
      <c r="S129" s="11" t="s">
        <v>943</v>
      </c>
      <c r="T129" s="6" t="s">
        <v>118</v>
      </c>
      <c r="U129" s="24" t="str">
        <f>HYPERLINK("https://media.infra-m.ru/2111/2111334/cover/2111334.jpg", "Обложка")</f>
        <v>Обложка</v>
      </c>
      <c r="V129" s="24" t="str">
        <f>HYPERLINK("https://znanium.ru/catalog/product/2111334", "Ознакомиться")</f>
        <v>Ознакомиться</v>
      </c>
      <c r="W129" s="8" t="s">
        <v>937</v>
      </c>
      <c r="X129" s="6"/>
      <c r="Y129" s="6"/>
      <c r="Z129" s="6" t="s">
        <v>48</v>
      </c>
      <c r="AA129" s="6" t="s">
        <v>740</v>
      </c>
      <c r="AB129" s="8"/>
    </row>
    <row r="130" spans="1:28" s="4" customFormat="1" ht="51.95" customHeight="1">
      <c r="A130" s="5">
        <v>0</v>
      </c>
      <c r="B130" s="6" t="s">
        <v>944</v>
      </c>
      <c r="C130" s="7">
        <v>1580</v>
      </c>
      <c r="D130" s="8" t="s">
        <v>945</v>
      </c>
      <c r="E130" s="8" t="s">
        <v>946</v>
      </c>
      <c r="F130" s="8" t="s">
        <v>947</v>
      </c>
      <c r="G130" s="6" t="s">
        <v>90</v>
      </c>
      <c r="H130" s="6" t="s">
        <v>54</v>
      </c>
      <c r="I130" s="8" t="s">
        <v>40</v>
      </c>
      <c r="J130" s="9">
        <v>1</v>
      </c>
      <c r="K130" s="9">
        <v>304</v>
      </c>
      <c r="L130" s="9">
        <v>2026</v>
      </c>
      <c r="M130" s="8" t="s">
        <v>948</v>
      </c>
      <c r="N130" s="8" t="s">
        <v>42</v>
      </c>
      <c r="O130" s="8" t="s">
        <v>43</v>
      </c>
      <c r="P130" s="6" t="s">
        <v>58</v>
      </c>
      <c r="Q130" s="8" t="s">
        <v>45</v>
      </c>
      <c r="R130" s="10" t="s">
        <v>949</v>
      </c>
      <c r="S130" s="11" t="s">
        <v>950</v>
      </c>
      <c r="T130" s="6" t="s">
        <v>118</v>
      </c>
      <c r="U130" s="24" t="str">
        <f>HYPERLINK("https://media.infra-m.ru/2216/2216840/cover/2216840.jpg", "Обложка")</f>
        <v>Обложка</v>
      </c>
      <c r="V130" s="24" t="str">
        <f>HYPERLINK("https://znanium.ru/catalog/product/2216840", "Ознакомиться")</f>
        <v>Ознакомиться</v>
      </c>
      <c r="W130" s="8" t="s">
        <v>818</v>
      </c>
      <c r="X130" s="6"/>
      <c r="Y130" s="6"/>
      <c r="Z130" s="6" t="s">
        <v>48</v>
      </c>
      <c r="AA130" s="6" t="s">
        <v>129</v>
      </c>
      <c r="AB130" s="8"/>
    </row>
    <row r="131" spans="1:28" s="4" customFormat="1" ht="51.95" customHeight="1">
      <c r="A131" s="5">
        <v>0</v>
      </c>
      <c r="B131" s="6" t="s">
        <v>951</v>
      </c>
      <c r="C131" s="7">
        <v>1050</v>
      </c>
      <c r="D131" s="8" t="s">
        <v>952</v>
      </c>
      <c r="E131" s="8" t="s">
        <v>946</v>
      </c>
      <c r="F131" s="8" t="s">
        <v>953</v>
      </c>
      <c r="G131" s="6" t="s">
        <v>38</v>
      </c>
      <c r="H131" s="6" t="s">
        <v>54</v>
      </c>
      <c r="I131" s="8" t="s">
        <v>40</v>
      </c>
      <c r="J131" s="9">
        <v>1</v>
      </c>
      <c r="K131" s="9">
        <v>202</v>
      </c>
      <c r="L131" s="9">
        <v>2025</v>
      </c>
      <c r="M131" s="8" t="s">
        <v>954</v>
      </c>
      <c r="N131" s="8" t="s">
        <v>42</v>
      </c>
      <c r="O131" s="8" t="s">
        <v>43</v>
      </c>
      <c r="P131" s="6" t="s">
        <v>44</v>
      </c>
      <c r="Q131" s="8" t="s">
        <v>45</v>
      </c>
      <c r="R131" s="10" t="s">
        <v>955</v>
      </c>
      <c r="S131" s="11"/>
      <c r="T131" s="6"/>
      <c r="U131" s="24" t="str">
        <f>HYPERLINK("https://media.infra-m.ru/1171/1171948/cover/1171948.jpg", "Обложка")</f>
        <v>Обложка</v>
      </c>
      <c r="V131" s="24" t="str">
        <f>HYPERLINK("https://znanium.ru/catalog/product/1171948", "Ознакомиться")</f>
        <v>Ознакомиться</v>
      </c>
      <c r="W131" s="8" t="s">
        <v>956</v>
      </c>
      <c r="X131" s="6"/>
      <c r="Y131" s="6"/>
      <c r="Z131" s="6"/>
      <c r="AA131" s="6" t="s">
        <v>84</v>
      </c>
      <c r="AB131" s="8"/>
    </row>
    <row r="132" spans="1:28" s="4" customFormat="1" ht="51.95" customHeight="1">
      <c r="A132" s="5">
        <v>0</v>
      </c>
      <c r="B132" s="6" t="s">
        <v>957</v>
      </c>
      <c r="C132" s="7">
        <v>1994</v>
      </c>
      <c r="D132" s="8" t="s">
        <v>958</v>
      </c>
      <c r="E132" s="8" t="s">
        <v>959</v>
      </c>
      <c r="F132" s="8" t="s">
        <v>960</v>
      </c>
      <c r="G132" s="6" t="s">
        <v>90</v>
      </c>
      <c r="H132" s="6" t="s">
        <v>39</v>
      </c>
      <c r="I132" s="8" t="s">
        <v>40</v>
      </c>
      <c r="J132" s="9">
        <v>1</v>
      </c>
      <c r="K132" s="9">
        <v>400</v>
      </c>
      <c r="L132" s="9">
        <v>2025</v>
      </c>
      <c r="M132" s="8" t="s">
        <v>961</v>
      </c>
      <c r="N132" s="8" t="s">
        <v>42</v>
      </c>
      <c r="O132" s="8" t="s">
        <v>43</v>
      </c>
      <c r="P132" s="6" t="s">
        <v>44</v>
      </c>
      <c r="Q132" s="8" t="s">
        <v>45</v>
      </c>
      <c r="R132" s="10" t="s">
        <v>962</v>
      </c>
      <c r="S132" s="11" t="s">
        <v>963</v>
      </c>
      <c r="T132" s="6"/>
      <c r="U132" s="24" t="str">
        <f>HYPERLINK("https://media.infra-m.ru/2169/2169726/cover/2169726.jpg", "Обложка")</f>
        <v>Обложка</v>
      </c>
      <c r="V132" s="24" t="str">
        <f>HYPERLINK("https://znanium.ru/catalog/product/1091314", "Ознакомиться")</f>
        <v>Ознакомиться</v>
      </c>
      <c r="W132" s="8" t="s">
        <v>818</v>
      </c>
      <c r="X132" s="6"/>
      <c r="Y132" s="6"/>
      <c r="Z132" s="6" t="s">
        <v>48</v>
      </c>
      <c r="AA132" s="6" t="s">
        <v>964</v>
      </c>
      <c r="AB132" s="8"/>
    </row>
    <row r="133" spans="1:28" s="4" customFormat="1" ht="51.95" customHeight="1">
      <c r="A133" s="5">
        <v>0</v>
      </c>
      <c r="B133" s="6" t="s">
        <v>965</v>
      </c>
      <c r="C133" s="7">
        <v>1514.9</v>
      </c>
      <c r="D133" s="8" t="s">
        <v>966</v>
      </c>
      <c r="E133" s="8" t="s">
        <v>967</v>
      </c>
      <c r="F133" s="8" t="s">
        <v>968</v>
      </c>
      <c r="G133" s="6" t="s">
        <v>38</v>
      </c>
      <c r="H133" s="6" t="s">
        <v>299</v>
      </c>
      <c r="I133" s="8" t="s">
        <v>40</v>
      </c>
      <c r="J133" s="9">
        <v>1</v>
      </c>
      <c r="K133" s="9">
        <v>336</v>
      </c>
      <c r="L133" s="9">
        <v>2023</v>
      </c>
      <c r="M133" s="8" t="s">
        <v>969</v>
      </c>
      <c r="N133" s="8" t="s">
        <v>125</v>
      </c>
      <c r="O133" s="8" t="s">
        <v>432</v>
      </c>
      <c r="P133" s="6" t="s">
        <v>58</v>
      </c>
      <c r="Q133" s="8" t="s">
        <v>45</v>
      </c>
      <c r="R133" s="10" t="s">
        <v>585</v>
      </c>
      <c r="S133" s="11" t="s">
        <v>970</v>
      </c>
      <c r="T133" s="6"/>
      <c r="U133" s="24" t="str">
        <f>HYPERLINK("https://media.infra-m.ru/1918/1918609/cover/1918609.jpg", "Обложка")</f>
        <v>Обложка</v>
      </c>
      <c r="V133" s="24" t="str">
        <f>HYPERLINK("https://znanium.ru/catalog/product/1914538", "Ознакомиться")</f>
        <v>Ознакомиться</v>
      </c>
      <c r="W133" s="8"/>
      <c r="X133" s="6"/>
      <c r="Y133" s="6"/>
      <c r="Z133" s="6"/>
      <c r="AA133" s="6" t="s">
        <v>191</v>
      </c>
      <c r="AB133" s="8"/>
    </row>
    <row r="134" spans="1:28" s="4" customFormat="1" ht="51.95" customHeight="1">
      <c r="A134" s="5">
        <v>0</v>
      </c>
      <c r="B134" s="6" t="s">
        <v>971</v>
      </c>
      <c r="C134" s="7">
        <v>1524</v>
      </c>
      <c r="D134" s="8" t="s">
        <v>972</v>
      </c>
      <c r="E134" s="8" t="s">
        <v>973</v>
      </c>
      <c r="F134" s="8" t="s">
        <v>974</v>
      </c>
      <c r="G134" s="6" t="s">
        <v>38</v>
      </c>
      <c r="H134" s="6" t="s">
        <v>54</v>
      </c>
      <c r="I134" s="8" t="s">
        <v>79</v>
      </c>
      <c r="J134" s="9">
        <v>1</v>
      </c>
      <c r="K134" s="9">
        <v>303</v>
      </c>
      <c r="L134" s="9">
        <v>2025</v>
      </c>
      <c r="M134" s="8" t="s">
        <v>975</v>
      </c>
      <c r="N134" s="8" t="s">
        <v>125</v>
      </c>
      <c r="O134" s="8" t="s">
        <v>432</v>
      </c>
      <c r="P134" s="6" t="s">
        <v>58</v>
      </c>
      <c r="Q134" s="8" t="s">
        <v>45</v>
      </c>
      <c r="R134" s="10" t="s">
        <v>585</v>
      </c>
      <c r="S134" s="11" t="s">
        <v>976</v>
      </c>
      <c r="T134" s="6"/>
      <c r="U134" s="24" t="str">
        <f>HYPERLINK("https://media.infra-m.ru/2185/2185900/cover/2185900.jpg", "Обложка")</f>
        <v>Обложка</v>
      </c>
      <c r="V134" s="24" t="str">
        <f>HYPERLINK("https://znanium.ru/catalog/product/1914538", "Ознакомиться")</f>
        <v>Ознакомиться</v>
      </c>
      <c r="W134" s="8" t="s">
        <v>82</v>
      </c>
      <c r="X134" s="6"/>
      <c r="Y134" s="6"/>
      <c r="Z134" s="6"/>
      <c r="AA134" s="6" t="s">
        <v>977</v>
      </c>
      <c r="AB134" s="8"/>
    </row>
    <row r="135" spans="1:28" s="4" customFormat="1" ht="51.95" customHeight="1">
      <c r="A135" s="5">
        <v>0</v>
      </c>
      <c r="B135" s="6" t="s">
        <v>978</v>
      </c>
      <c r="C135" s="7">
        <v>2024</v>
      </c>
      <c r="D135" s="8" t="s">
        <v>979</v>
      </c>
      <c r="E135" s="8" t="s">
        <v>980</v>
      </c>
      <c r="F135" s="8" t="s">
        <v>981</v>
      </c>
      <c r="G135" s="6" t="s">
        <v>38</v>
      </c>
      <c r="H135" s="6" t="s">
        <v>982</v>
      </c>
      <c r="I135" s="8" t="s">
        <v>983</v>
      </c>
      <c r="J135" s="9">
        <v>1</v>
      </c>
      <c r="K135" s="9">
        <v>448</v>
      </c>
      <c r="L135" s="9">
        <v>2023</v>
      </c>
      <c r="M135" s="8" t="s">
        <v>984</v>
      </c>
      <c r="N135" s="8" t="s">
        <v>125</v>
      </c>
      <c r="O135" s="8" t="s">
        <v>432</v>
      </c>
      <c r="P135" s="6" t="s">
        <v>44</v>
      </c>
      <c r="Q135" s="8" t="s">
        <v>45</v>
      </c>
      <c r="R135" s="10" t="s">
        <v>985</v>
      </c>
      <c r="S135" s="11" t="s">
        <v>986</v>
      </c>
      <c r="T135" s="6"/>
      <c r="U135" s="24" t="str">
        <f>HYPERLINK("https://media.infra-m.ru/1912/1912956/cover/1912956.jpg", "Обложка")</f>
        <v>Обложка</v>
      </c>
      <c r="V135" s="24" t="str">
        <f>HYPERLINK("https://znanium.ru/catalog/product/1209221", "Ознакомиться")</f>
        <v>Ознакомиться</v>
      </c>
      <c r="W135" s="8" t="s">
        <v>987</v>
      </c>
      <c r="X135" s="6"/>
      <c r="Y135" s="6"/>
      <c r="Z135" s="6"/>
      <c r="AA135" s="6" t="s">
        <v>988</v>
      </c>
      <c r="AB135" s="8"/>
    </row>
    <row r="136" spans="1:28" s="4" customFormat="1" ht="42" customHeight="1">
      <c r="A136" s="5">
        <v>0</v>
      </c>
      <c r="B136" s="6" t="s">
        <v>989</v>
      </c>
      <c r="C136" s="7">
        <v>1180</v>
      </c>
      <c r="D136" s="8" t="s">
        <v>990</v>
      </c>
      <c r="E136" s="8" t="s">
        <v>991</v>
      </c>
      <c r="F136" s="8" t="s">
        <v>992</v>
      </c>
      <c r="G136" s="6" t="s">
        <v>38</v>
      </c>
      <c r="H136" s="6" t="s">
        <v>359</v>
      </c>
      <c r="I136" s="8" t="s">
        <v>40</v>
      </c>
      <c r="J136" s="9">
        <v>1</v>
      </c>
      <c r="K136" s="9">
        <v>368</v>
      </c>
      <c r="L136" s="9">
        <v>2018</v>
      </c>
      <c r="M136" s="8" t="s">
        <v>993</v>
      </c>
      <c r="N136" s="8" t="s">
        <v>125</v>
      </c>
      <c r="O136" s="8" t="s">
        <v>352</v>
      </c>
      <c r="P136" s="6" t="s">
        <v>58</v>
      </c>
      <c r="Q136" s="8" t="s">
        <v>45</v>
      </c>
      <c r="R136" s="10" t="s">
        <v>994</v>
      </c>
      <c r="S136" s="11"/>
      <c r="T136" s="6"/>
      <c r="U136" s="24" t="str">
        <f>HYPERLINK("https://media.infra-m.ru/0988/0988551/cover/988551.jpg", "Обложка")</f>
        <v>Обложка</v>
      </c>
      <c r="V136" s="24" t="str">
        <f>HYPERLINK("https://znanium.ru/catalog/product/1927297", "Ознакомиться")</f>
        <v>Ознакомиться</v>
      </c>
      <c r="W136" s="8" t="s">
        <v>361</v>
      </c>
      <c r="X136" s="6"/>
      <c r="Y136" s="6"/>
      <c r="Z136" s="6" t="s">
        <v>48</v>
      </c>
      <c r="AA136" s="6" t="s">
        <v>129</v>
      </c>
      <c r="AB136" s="8"/>
    </row>
    <row r="137" spans="1:28" s="4" customFormat="1" ht="42" customHeight="1">
      <c r="A137" s="5">
        <v>0</v>
      </c>
      <c r="B137" s="6" t="s">
        <v>995</v>
      </c>
      <c r="C137" s="7">
        <v>1684</v>
      </c>
      <c r="D137" s="8" t="s">
        <v>996</v>
      </c>
      <c r="E137" s="8" t="s">
        <v>997</v>
      </c>
      <c r="F137" s="8" t="s">
        <v>992</v>
      </c>
      <c r="G137" s="6" t="s">
        <v>90</v>
      </c>
      <c r="H137" s="6" t="s">
        <v>359</v>
      </c>
      <c r="I137" s="8" t="s">
        <v>40</v>
      </c>
      <c r="J137" s="9">
        <v>1</v>
      </c>
      <c r="K137" s="9">
        <v>336</v>
      </c>
      <c r="L137" s="9">
        <v>2025</v>
      </c>
      <c r="M137" s="8" t="s">
        <v>998</v>
      </c>
      <c r="N137" s="8" t="s">
        <v>125</v>
      </c>
      <c r="O137" s="8" t="s">
        <v>352</v>
      </c>
      <c r="P137" s="6" t="s">
        <v>58</v>
      </c>
      <c r="Q137" s="8" t="s">
        <v>45</v>
      </c>
      <c r="R137" s="10" t="s">
        <v>994</v>
      </c>
      <c r="S137" s="11"/>
      <c r="T137" s="6"/>
      <c r="U137" s="24" t="str">
        <f>HYPERLINK("https://media.infra-m.ru/2170/2170387/cover/2170387.jpg", "Обложка")</f>
        <v>Обложка</v>
      </c>
      <c r="V137" s="24" t="str">
        <f>HYPERLINK("https://znanium.ru/catalog/product/1927297", "Ознакомиться")</f>
        <v>Ознакомиться</v>
      </c>
      <c r="W137" s="8" t="s">
        <v>361</v>
      </c>
      <c r="X137" s="6"/>
      <c r="Y137" s="6"/>
      <c r="Z137" s="6" t="s">
        <v>48</v>
      </c>
      <c r="AA137" s="6" t="s">
        <v>999</v>
      </c>
      <c r="AB137" s="8"/>
    </row>
    <row r="138" spans="1:28" s="4" customFormat="1" ht="51.95" customHeight="1">
      <c r="A138" s="5">
        <v>0</v>
      </c>
      <c r="B138" s="6" t="s">
        <v>1000</v>
      </c>
      <c r="C138" s="13">
        <v>784.9</v>
      </c>
      <c r="D138" s="8" t="s">
        <v>1001</v>
      </c>
      <c r="E138" s="8" t="s">
        <v>1002</v>
      </c>
      <c r="F138" s="8" t="s">
        <v>1003</v>
      </c>
      <c r="G138" s="6" t="s">
        <v>38</v>
      </c>
      <c r="H138" s="6" t="s">
        <v>39</v>
      </c>
      <c r="I138" s="8" t="s">
        <v>40</v>
      </c>
      <c r="J138" s="9">
        <v>1</v>
      </c>
      <c r="K138" s="9">
        <v>175</v>
      </c>
      <c r="L138" s="9">
        <v>2023</v>
      </c>
      <c r="M138" s="8" t="s">
        <v>1004</v>
      </c>
      <c r="N138" s="8" t="s">
        <v>125</v>
      </c>
      <c r="O138" s="8" t="s">
        <v>126</v>
      </c>
      <c r="P138" s="6" t="s">
        <v>44</v>
      </c>
      <c r="Q138" s="8" t="s">
        <v>45</v>
      </c>
      <c r="R138" s="10" t="s">
        <v>1005</v>
      </c>
      <c r="S138" s="11" t="s">
        <v>1006</v>
      </c>
      <c r="T138" s="6"/>
      <c r="U138" s="24" t="str">
        <f>HYPERLINK("https://media.infra-m.ru/1965/1965748/cover/1965748.jpg", "Обложка")</f>
        <v>Обложка</v>
      </c>
      <c r="V138" s="24" t="str">
        <f>HYPERLINK("https://znanium.ru/catalog/product/1668634", "Ознакомиться")</f>
        <v>Ознакомиться</v>
      </c>
      <c r="W138" s="8" t="s">
        <v>1007</v>
      </c>
      <c r="X138" s="6"/>
      <c r="Y138" s="6"/>
      <c r="Z138" s="6" t="s">
        <v>48</v>
      </c>
      <c r="AA138" s="6" t="s">
        <v>563</v>
      </c>
      <c r="AB138" s="8"/>
    </row>
    <row r="139" spans="1:28" s="4" customFormat="1" ht="42" customHeight="1">
      <c r="A139" s="5">
        <v>0</v>
      </c>
      <c r="B139" s="6" t="s">
        <v>1008</v>
      </c>
      <c r="C139" s="7">
        <v>1354</v>
      </c>
      <c r="D139" s="8" t="s">
        <v>1009</v>
      </c>
      <c r="E139" s="8" t="s">
        <v>1010</v>
      </c>
      <c r="F139" s="8" t="s">
        <v>1011</v>
      </c>
      <c r="G139" s="6" t="s">
        <v>90</v>
      </c>
      <c r="H139" s="6" t="s">
        <v>134</v>
      </c>
      <c r="I139" s="8"/>
      <c r="J139" s="9">
        <v>1</v>
      </c>
      <c r="K139" s="9">
        <v>272</v>
      </c>
      <c r="L139" s="9">
        <v>2024</v>
      </c>
      <c r="M139" s="8" t="s">
        <v>1012</v>
      </c>
      <c r="N139" s="8" t="s">
        <v>42</v>
      </c>
      <c r="O139" s="8" t="s">
        <v>243</v>
      </c>
      <c r="P139" s="6" t="s">
        <v>44</v>
      </c>
      <c r="Q139" s="8" t="s">
        <v>45</v>
      </c>
      <c r="R139" s="10" t="s">
        <v>1013</v>
      </c>
      <c r="S139" s="11"/>
      <c r="T139" s="6"/>
      <c r="U139" s="24" t="str">
        <f>HYPERLINK("https://media.infra-m.ru/2079/2079926/cover/2079926.jpg", "Обложка")</f>
        <v>Обложка</v>
      </c>
      <c r="V139" s="24" t="str">
        <f>HYPERLINK("https://znanium.ru/catalog/product/2158499", "Ознакомиться")</f>
        <v>Ознакомиться</v>
      </c>
      <c r="W139" s="8" t="s">
        <v>1014</v>
      </c>
      <c r="X139" s="6"/>
      <c r="Y139" s="6"/>
      <c r="Z139" s="6"/>
      <c r="AA139" s="6" t="s">
        <v>573</v>
      </c>
      <c r="AB139" s="8"/>
    </row>
    <row r="140" spans="1:28" s="4" customFormat="1" ht="42" customHeight="1">
      <c r="A140" s="5">
        <v>0</v>
      </c>
      <c r="B140" s="6" t="s">
        <v>1015</v>
      </c>
      <c r="C140" s="7">
        <v>1630</v>
      </c>
      <c r="D140" s="8" t="s">
        <v>1016</v>
      </c>
      <c r="E140" s="8" t="s">
        <v>1017</v>
      </c>
      <c r="F140" s="8" t="s">
        <v>1011</v>
      </c>
      <c r="G140" s="6" t="s">
        <v>90</v>
      </c>
      <c r="H140" s="6" t="s">
        <v>54</v>
      </c>
      <c r="I140" s="8" t="s">
        <v>40</v>
      </c>
      <c r="J140" s="9">
        <v>1</v>
      </c>
      <c r="K140" s="9">
        <v>320</v>
      </c>
      <c r="L140" s="9">
        <v>2025</v>
      </c>
      <c r="M140" s="8" t="s">
        <v>1018</v>
      </c>
      <c r="N140" s="8" t="s">
        <v>42</v>
      </c>
      <c r="O140" s="8" t="s">
        <v>243</v>
      </c>
      <c r="P140" s="6" t="s">
        <v>44</v>
      </c>
      <c r="Q140" s="8" t="s">
        <v>45</v>
      </c>
      <c r="R140" s="10" t="s">
        <v>1013</v>
      </c>
      <c r="S140" s="11"/>
      <c r="T140" s="6"/>
      <c r="U140" s="24" t="str">
        <f>HYPERLINK("https://media.infra-m.ru/2158/2158499/cover/2158499.jpg", "Обложка")</f>
        <v>Обложка</v>
      </c>
      <c r="V140" s="24" t="str">
        <f>HYPERLINK("https://znanium.ru/catalog/product/2158499", "Ознакомиться")</f>
        <v>Ознакомиться</v>
      </c>
      <c r="W140" s="8" t="s">
        <v>1014</v>
      </c>
      <c r="X140" s="6" t="s">
        <v>1019</v>
      </c>
      <c r="Y140" s="6"/>
      <c r="Z140" s="6"/>
      <c r="AA140" s="6" t="s">
        <v>231</v>
      </c>
      <c r="AB140" s="8"/>
    </row>
    <row r="141" spans="1:28" s="4" customFormat="1" ht="51.95" customHeight="1">
      <c r="A141" s="5">
        <v>0</v>
      </c>
      <c r="B141" s="6" t="s">
        <v>1020</v>
      </c>
      <c r="C141" s="13">
        <v>944</v>
      </c>
      <c r="D141" s="8" t="s">
        <v>1021</v>
      </c>
      <c r="E141" s="8" t="s">
        <v>1022</v>
      </c>
      <c r="F141" s="8" t="s">
        <v>1023</v>
      </c>
      <c r="G141" s="6" t="s">
        <v>38</v>
      </c>
      <c r="H141" s="6" t="s">
        <v>39</v>
      </c>
      <c r="I141" s="8" t="s">
        <v>40</v>
      </c>
      <c r="J141" s="9">
        <v>1</v>
      </c>
      <c r="K141" s="9">
        <v>207</v>
      </c>
      <c r="L141" s="9">
        <v>2023</v>
      </c>
      <c r="M141" s="8" t="s">
        <v>1024</v>
      </c>
      <c r="N141" s="8" t="s">
        <v>42</v>
      </c>
      <c r="O141" s="8" t="s">
        <v>169</v>
      </c>
      <c r="P141" s="6" t="s">
        <v>44</v>
      </c>
      <c r="Q141" s="8" t="s">
        <v>45</v>
      </c>
      <c r="R141" s="10" t="s">
        <v>1025</v>
      </c>
      <c r="S141" s="11" t="s">
        <v>1026</v>
      </c>
      <c r="T141" s="6"/>
      <c r="U141" s="24" t="str">
        <f>HYPERLINK("https://media.infra-m.ru/2021/2021414/cover/2021414.jpg", "Обложка")</f>
        <v>Обложка</v>
      </c>
      <c r="V141" s="24" t="str">
        <f>HYPERLINK("https://znanium.ru/catalog/product/960106", "Ознакомиться")</f>
        <v>Ознакомиться</v>
      </c>
      <c r="W141" s="8"/>
      <c r="X141" s="6"/>
      <c r="Y141" s="6"/>
      <c r="Z141" s="6" t="s">
        <v>207</v>
      </c>
      <c r="AA141" s="6" t="s">
        <v>1027</v>
      </c>
      <c r="AB141" s="8"/>
    </row>
    <row r="142" spans="1:28" s="4" customFormat="1" ht="51.95" customHeight="1">
      <c r="A142" s="5">
        <v>0</v>
      </c>
      <c r="B142" s="6" t="s">
        <v>1028</v>
      </c>
      <c r="C142" s="13">
        <v>780</v>
      </c>
      <c r="D142" s="8" t="s">
        <v>1029</v>
      </c>
      <c r="E142" s="8" t="s">
        <v>1030</v>
      </c>
      <c r="F142" s="8" t="s">
        <v>1031</v>
      </c>
      <c r="G142" s="6" t="s">
        <v>67</v>
      </c>
      <c r="H142" s="6" t="s">
        <v>68</v>
      </c>
      <c r="I142" s="8" t="s">
        <v>69</v>
      </c>
      <c r="J142" s="9">
        <v>1</v>
      </c>
      <c r="K142" s="9">
        <v>150</v>
      </c>
      <c r="L142" s="9">
        <v>2025</v>
      </c>
      <c r="M142" s="8" t="s">
        <v>1032</v>
      </c>
      <c r="N142" s="8" t="s">
        <v>535</v>
      </c>
      <c r="O142" s="8" t="s">
        <v>1033</v>
      </c>
      <c r="P142" s="6" t="s">
        <v>44</v>
      </c>
      <c r="Q142" s="8" t="s">
        <v>45</v>
      </c>
      <c r="R142" s="10" t="s">
        <v>1034</v>
      </c>
      <c r="S142" s="11"/>
      <c r="T142" s="6"/>
      <c r="U142" s="24" t="str">
        <f>HYPERLINK("https://media.infra-m.ru/2177/2177794/cover/2177794.jpg", "Обложка")</f>
        <v>Обложка</v>
      </c>
      <c r="V142" s="24" t="str">
        <f>HYPERLINK("https://znanium.ru/catalog/product/2177794", "Ознакомиться")</f>
        <v>Ознакомиться</v>
      </c>
      <c r="W142" s="8" t="s">
        <v>709</v>
      </c>
      <c r="X142" s="6"/>
      <c r="Y142" s="6" t="s">
        <v>30</v>
      </c>
      <c r="Z142" s="6"/>
      <c r="AA142" s="6" t="s">
        <v>111</v>
      </c>
      <c r="AB142" s="8"/>
    </row>
    <row r="143" spans="1:28" s="4" customFormat="1" ht="51.95" customHeight="1">
      <c r="A143" s="5">
        <v>0</v>
      </c>
      <c r="B143" s="6" t="s">
        <v>1035</v>
      </c>
      <c r="C143" s="7">
        <v>1850</v>
      </c>
      <c r="D143" s="8" t="s">
        <v>1036</v>
      </c>
      <c r="E143" s="8" t="s">
        <v>1037</v>
      </c>
      <c r="F143" s="8" t="s">
        <v>1038</v>
      </c>
      <c r="G143" s="6" t="s">
        <v>90</v>
      </c>
      <c r="H143" s="6" t="s">
        <v>54</v>
      </c>
      <c r="I143" s="8" t="s">
        <v>40</v>
      </c>
      <c r="J143" s="9">
        <v>1</v>
      </c>
      <c r="K143" s="9">
        <v>400</v>
      </c>
      <c r="L143" s="9">
        <v>2023</v>
      </c>
      <c r="M143" s="8" t="s">
        <v>1039</v>
      </c>
      <c r="N143" s="8" t="s">
        <v>535</v>
      </c>
      <c r="O143" s="8" t="s">
        <v>1033</v>
      </c>
      <c r="P143" s="6" t="s">
        <v>44</v>
      </c>
      <c r="Q143" s="8" t="s">
        <v>45</v>
      </c>
      <c r="R143" s="10" t="s">
        <v>1040</v>
      </c>
      <c r="S143" s="11" t="s">
        <v>1041</v>
      </c>
      <c r="T143" s="6"/>
      <c r="U143" s="24" t="str">
        <f>HYPERLINK("https://media.infra-m.ru/2016/2016215/cover/2016215.jpg", "Обложка")</f>
        <v>Обложка</v>
      </c>
      <c r="V143" s="24" t="str">
        <f>HYPERLINK("https://znanium.ru/catalog/product/2016215", "Ознакомиться")</f>
        <v>Ознакомиться</v>
      </c>
      <c r="W143" s="8" t="s">
        <v>1042</v>
      </c>
      <c r="X143" s="6"/>
      <c r="Y143" s="6" t="s">
        <v>30</v>
      </c>
      <c r="Z143" s="6" t="s">
        <v>48</v>
      </c>
      <c r="AA143" s="6" t="s">
        <v>223</v>
      </c>
      <c r="AB143" s="8"/>
    </row>
    <row r="144" spans="1:28" s="4" customFormat="1" ht="51.95" customHeight="1">
      <c r="A144" s="5">
        <v>0</v>
      </c>
      <c r="B144" s="6" t="s">
        <v>1043</v>
      </c>
      <c r="C144" s="7">
        <v>1844</v>
      </c>
      <c r="D144" s="8" t="s">
        <v>1044</v>
      </c>
      <c r="E144" s="8" t="s">
        <v>1045</v>
      </c>
      <c r="F144" s="8" t="s">
        <v>1046</v>
      </c>
      <c r="G144" s="6" t="s">
        <v>38</v>
      </c>
      <c r="H144" s="6" t="s">
        <v>824</v>
      </c>
      <c r="I144" s="8"/>
      <c r="J144" s="9">
        <v>1</v>
      </c>
      <c r="K144" s="9">
        <v>368</v>
      </c>
      <c r="L144" s="9">
        <v>2024</v>
      </c>
      <c r="M144" s="8" t="s">
        <v>1047</v>
      </c>
      <c r="N144" s="8" t="s">
        <v>535</v>
      </c>
      <c r="O144" s="8" t="s">
        <v>1048</v>
      </c>
      <c r="P144" s="6" t="s">
        <v>58</v>
      </c>
      <c r="Q144" s="8" t="s">
        <v>45</v>
      </c>
      <c r="R144" s="10" t="s">
        <v>1049</v>
      </c>
      <c r="S144" s="11"/>
      <c r="T144" s="6"/>
      <c r="U144" s="24" t="str">
        <f>HYPERLINK("https://media.infra-m.ru/2157/2157378/cover/2157378.jpg", "Обложка")</f>
        <v>Обложка</v>
      </c>
      <c r="V144" s="24" t="str">
        <f>HYPERLINK("https://znanium.ru/catalog/product/2133022", "Ознакомиться")</f>
        <v>Ознакомиться</v>
      </c>
      <c r="W144" s="8" t="s">
        <v>1050</v>
      </c>
      <c r="X144" s="6"/>
      <c r="Y144" s="6" t="s">
        <v>30</v>
      </c>
      <c r="Z144" s="6"/>
      <c r="AA144" s="6" t="s">
        <v>766</v>
      </c>
      <c r="AB144" s="8"/>
    </row>
    <row r="145" spans="1:28" s="4" customFormat="1" ht="51.95" customHeight="1">
      <c r="A145" s="5">
        <v>0</v>
      </c>
      <c r="B145" s="6" t="s">
        <v>1051</v>
      </c>
      <c r="C145" s="7">
        <v>1344</v>
      </c>
      <c r="D145" s="8" t="s">
        <v>1052</v>
      </c>
      <c r="E145" s="8" t="s">
        <v>1045</v>
      </c>
      <c r="F145" s="8" t="s">
        <v>1053</v>
      </c>
      <c r="G145" s="6" t="s">
        <v>90</v>
      </c>
      <c r="H145" s="6" t="s">
        <v>54</v>
      </c>
      <c r="I145" s="8" t="s">
        <v>40</v>
      </c>
      <c r="J145" s="9">
        <v>1</v>
      </c>
      <c r="K145" s="9">
        <v>297</v>
      </c>
      <c r="L145" s="9">
        <v>2023</v>
      </c>
      <c r="M145" s="8" t="s">
        <v>1054</v>
      </c>
      <c r="N145" s="8" t="s">
        <v>535</v>
      </c>
      <c r="O145" s="8" t="s">
        <v>1048</v>
      </c>
      <c r="P145" s="6" t="s">
        <v>44</v>
      </c>
      <c r="Q145" s="8" t="s">
        <v>45</v>
      </c>
      <c r="R145" s="10" t="s">
        <v>1055</v>
      </c>
      <c r="S145" s="11" t="s">
        <v>1056</v>
      </c>
      <c r="T145" s="6"/>
      <c r="U145" s="24" t="str">
        <f>HYPERLINK("https://media.infra-m.ru/2021/2021451/cover/2021451.jpg", "Обложка")</f>
        <v>Обложка</v>
      </c>
      <c r="V145" s="24" t="str">
        <f>HYPERLINK("https://znanium.ru/catalog/product/2143472", "Ознакомиться")</f>
        <v>Ознакомиться</v>
      </c>
      <c r="W145" s="8" t="s">
        <v>547</v>
      </c>
      <c r="X145" s="6"/>
      <c r="Y145" s="6"/>
      <c r="Z145" s="6" t="s">
        <v>48</v>
      </c>
      <c r="AA145" s="6" t="s">
        <v>129</v>
      </c>
      <c r="AB145" s="8"/>
    </row>
    <row r="146" spans="1:28" s="4" customFormat="1" ht="51.95" customHeight="1">
      <c r="A146" s="5">
        <v>0</v>
      </c>
      <c r="B146" s="6" t="s">
        <v>1057</v>
      </c>
      <c r="C146" s="7">
        <v>1830</v>
      </c>
      <c r="D146" s="8" t="s">
        <v>1058</v>
      </c>
      <c r="E146" s="8" t="s">
        <v>1059</v>
      </c>
      <c r="F146" s="8" t="s">
        <v>1053</v>
      </c>
      <c r="G146" s="6" t="s">
        <v>90</v>
      </c>
      <c r="H146" s="6" t="s">
        <v>54</v>
      </c>
      <c r="I146" s="8" t="s">
        <v>40</v>
      </c>
      <c r="J146" s="9">
        <v>1</v>
      </c>
      <c r="K146" s="9">
        <v>346</v>
      </c>
      <c r="L146" s="9">
        <v>2026</v>
      </c>
      <c r="M146" s="8" t="s">
        <v>1060</v>
      </c>
      <c r="N146" s="8" t="s">
        <v>535</v>
      </c>
      <c r="O146" s="8" t="s">
        <v>1033</v>
      </c>
      <c r="P146" s="6" t="s">
        <v>44</v>
      </c>
      <c r="Q146" s="8" t="s">
        <v>45</v>
      </c>
      <c r="R146" s="10" t="s">
        <v>1055</v>
      </c>
      <c r="S146" s="11" t="s">
        <v>1056</v>
      </c>
      <c r="T146" s="6"/>
      <c r="U146" s="24" t="str">
        <f>HYPERLINK("https://media.infra-m.ru/2143/2143472/cover/2143472.jpg", "Обложка")</f>
        <v>Обложка</v>
      </c>
      <c r="V146" s="24" t="str">
        <f>HYPERLINK("https://znanium.ru/catalog/product/2143472", "Ознакомиться")</f>
        <v>Ознакомиться</v>
      </c>
      <c r="W146" s="8" t="s">
        <v>547</v>
      </c>
      <c r="X146" s="6" t="s">
        <v>518</v>
      </c>
      <c r="Y146" s="6"/>
      <c r="Z146" s="6" t="s">
        <v>48</v>
      </c>
      <c r="AA146" s="6" t="s">
        <v>1061</v>
      </c>
      <c r="AB146" s="8"/>
    </row>
    <row r="147" spans="1:28" s="4" customFormat="1" ht="51.95" customHeight="1">
      <c r="A147" s="5">
        <v>0</v>
      </c>
      <c r="B147" s="6" t="s">
        <v>1062</v>
      </c>
      <c r="C147" s="7">
        <v>3030</v>
      </c>
      <c r="D147" s="8" t="s">
        <v>1063</v>
      </c>
      <c r="E147" s="8" t="s">
        <v>1045</v>
      </c>
      <c r="F147" s="8" t="s">
        <v>1064</v>
      </c>
      <c r="G147" s="6" t="s">
        <v>38</v>
      </c>
      <c r="H147" s="6" t="s">
        <v>54</v>
      </c>
      <c r="I147" s="8" t="s">
        <v>40</v>
      </c>
      <c r="J147" s="9">
        <v>1</v>
      </c>
      <c r="K147" s="9">
        <v>576</v>
      </c>
      <c r="L147" s="9">
        <v>2026</v>
      </c>
      <c r="M147" s="8" t="s">
        <v>1065</v>
      </c>
      <c r="N147" s="8" t="s">
        <v>535</v>
      </c>
      <c r="O147" s="8" t="s">
        <v>1048</v>
      </c>
      <c r="P147" s="6" t="s">
        <v>44</v>
      </c>
      <c r="Q147" s="8" t="s">
        <v>45</v>
      </c>
      <c r="R147" s="10" t="s">
        <v>1040</v>
      </c>
      <c r="S147" s="11" t="s">
        <v>1066</v>
      </c>
      <c r="T147" s="6"/>
      <c r="U147" s="24" t="str">
        <f>HYPERLINK("https://media.infra-m.ru/2217/2217047/cover/2217047.jpg", "Обложка")</f>
        <v>Обложка</v>
      </c>
      <c r="V147" s="24" t="str">
        <f>HYPERLINK("https://znanium.ru/catalog/product/2217047", "Ознакомиться")</f>
        <v>Ознакомиться</v>
      </c>
      <c r="W147" s="8" t="s">
        <v>1067</v>
      </c>
      <c r="X147" s="6"/>
      <c r="Y147" s="6" t="s">
        <v>30</v>
      </c>
      <c r="Z147" s="6" t="s">
        <v>48</v>
      </c>
      <c r="AA147" s="6" t="s">
        <v>223</v>
      </c>
      <c r="AB147" s="8"/>
    </row>
    <row r="148" spans="1:28" s="4" customFormat="1" ht="51.95" customHeight="1">
      <c r="A148" s="5">
        <v>0</v>
      </c>
      <c r="B148" s="6" t="s">
        <v>1068</v>
      </c>
      <c r="C148" s="13">
        <v>780</v>
      </c>
      <c r="D148" s="8" t="s">
        <v>1069</v>
      </c>
      <c r="E148" s="8" t="s">
        <v>1045</v>
      </c>
      <c r="F148" s="8" t="s">
        <v>1070</v>
      </c>
      <c r="G148" s="6" t="s">
        <v>90</v>
      </c>
      <c r="H148" s="6" t="s">
        <v>54</v>
      </c>
      <c r="I148" s="8" t="s">
        <v>40</v>
      </c>
      <c r="J148" s="9">
        <v>1</v>
      </c>
      <c r="K148" s="9">
        <v>204</v>
      </c>
      <c r="L148" s="9">
        <v>2022</v>
      </c>
      <c r="M148" s="8" t="s">
        <v>1071</v>
      </c>
      <c r="N148" s="8" t="s">
        <v>535</v>
      </c>
      <c r="O148" s="8" t="s">
        <v>1033</v>
      </c>
      <c r="P148" s="6" t="s">
        <v>44</v>
      </c>
      <c r="Q148" s="8" t="s">
        <v>45</v>
      </c>
      <c r="R148" s="10" t="s">
        <v>1072</v>
      </c>
      <c r="S148" s="11" t="s">
        <v>1073</v>
      </c>
      <c r="T148" s="6"/>
      <c r="U148" s="24" t="str">
        <f>HYPERLINK("https://media.infra-m.ru/1852/1852173/cover/1852173.jpg", "Обложка")</f>
        <v>Обложка</v>
      </c>
      <c r="V148" s="24" t="str">
        <f>HYPERLINK("https://znanium.ru/catalog/product/2223932", "Ознакомиться")</f>
        <v>Ознакомиться</v>
      </c>
      <c r="W148" s="8" t="s">
        <v>73</v>
      </c>
      <c r="X148" s="6"/>
      <c r="Y148" s="6" t="s">
        <v>30</v>
      </c>
      <c r="Z148" s="6" t="s">
        <v>48</v>
      </c>
      <c r="AA148" s="6" t="s">
        <v>111</v>
      </c>
      <c r="AB148" s="8"/>
    </row>
    <row r="149" spans="1:28" s="4" customFormat="1" ht="51.95" customHeight="1">
      <c r="A149" s="5">
        <v>0</v>
      </c>
      <c r="B149" s="6" t="s">
        <v>1074</v>
      </c>
      <c r="C149" s="7">
        <v>1240</v>
      </c>
      <c r="D149" s="8" t="s">
        <v>1075</v>
      </c>
      <c r="E149" s="8" t="s">
        <v>1059</v>
      </c>
      <c r="F149" s="8" t="s">
        <v>1070</v>
      </c>
      <c r="G149" s="6" t="s">
        <v>90</v>
      </c>
      <c r="H149" s="6" t="s">
        <v>54</v>
      </c>
      <c r="I149" s="8" t="s">
        <v>40</v>
      </c>
      <c r="J149" s="9">
        <v>1</v>
      </c>
      <c r="K149" s="9">
        <v>225</v>
      </c>
      <c r="L149" s="9">
        <v>2026</v>
      </c>
      <c r="M149" s="8" t="s">
        <v>1076</v>
      </c>
      <c r="N149" s="8" t="s">
        <v>535</v>
      </c>
      <c r="O149" s="8" t="s">
        <v>1033</v>
      </c>
      <c r="P149" s="6" t="s">
        <v>44</v>
      </c>
      <c r="Q149" s="8" t="s">
        <v>45</v>
      </c>
      <c r="R149" s="10" t="s">
        <v>1072</v>
      </c>
      <c r="S149" s="11"/>
      <c r="T149" s="6"/>
      <c r="U149" s="24" t="str">
        <f>HYPERLINK("https://media.infra-m.ru/2223/2223932/cover/2223932.jpg", "Обложка")</f>
        <v>Обложка</v>
      </c>
      <c r="V149" s="24" t="str">
        <f>HYPERLINK("https://znanium.ru/catalog/product/2223932", "Ознакомиться")</f>
        <v>Ознакомиться</v>
      </c>
      <c r="W149" s="8" t="s">
        <v>73</v>
      </c>
      <c r="X149" s="6"/>
      <c r="Y149" s="6" t="s">
        <v>30</v>
      </c>
      <c r="Z149" s="6" t="s">
        <v>48</v>
      </c>
      <c r="AA149" s="6" t="s">
        <v>49</v>
      </c>
      <c r="AB149" s="8"/>
    </row>
    <row r="150" spans="1:28" s="4" customFormat="1" ht="42" customHeight="1">
      <c r="A150" s="5">
        <v>0</v>
      </c>
      <c r="B150" s="6" t="s">
        <v>1077</v>
      </c>
      <c r="C150" s="7">
        <v>1440</v>
      </c>
      <c r="D150" s="8" t="s">
        <v>1078</v>
      </c>
      <c r="E150" s="8" t="s">
        <v>1079</v>
      </c>
      <c r="F150" s="8" t="s">
        <v>1080</v>
      </c>
      <c r="G150" s="6" t="s">
        <v>90</v>
      </c>
      <c r="H150" s="6" t="s">
        <v>54</v>
      </c>
      <c r="I150" s="8" t="s">
        <v>40</v>
      </c>
      <c r="J150" s="9">
        <v>1</v>
      </c>
      <c r="K150" s="9">
        <v>287</v>
      </c>
      <c r="L150" s="9">
        <v>2025</v>
      </c>
      <c r="M150" s="8" t="s">
        <v>1081</v>
      </c>
      <c r="N150" s="8" t="s">
        <v>42</v>
      </c>
      <c r="O150" s="8" t="s">
        <v>43</v>
      </c>
      <c r="P150" s="6" t="s">
        <v>44</v>
      </c>
      <c r="Q150" s="8" t="s">
        <v>45</v>
      </c>
      <c r="R150" s="10" t="s">
        <v>1082</v>
      </c>
      <c r="S150" s="11"/>
      <c r="T150" s="6"/>
      <c r="U150" s="24" t="str">
        <f>HYPERLINK("https://media.infra-m.ru/2164/2164154/cover/2164154.jpg", "Обложка")</f>
        <v>Обложка</v>
      </c>
      <c r="V150" s="24" t="str">
        <f>HYPERLINK("https://znanium.ru/catalog/product/2164154", "Ознакомиться")</f>
        <v>Ознакомиться</v>
      </c>
      <c r="W150" s="8" t="s">
        <v>82</v>
      </c>
      <c r="X150" s="6"/>
      <c r="Y150" s="6"/>
      <c r="Z150" s="6" t="s">
        <v>48</v>
      </c>
      <c r="AA150" s="6" t="s">
        <v>368</v>
      </c>
      <c r="AB150" s="8"/>
    </row>
    <row r="151" spans="1:28" s="4" customFormat="1" ht="51.95" customHeight="1">
      <c r="A151" s="5">
        <v>0</v>
      </c>
      <c r="B151" s="6" t="s">
        <v>1083</v>
      </c>
      <c r="C151" s="7">
        <v>1480</v>
      </c>
      <c r="D151" s="8" t="s">
        <v>1084</v>
      </c>
      <c r="E151" s="8" t="s">
        <v>1085</v>
      </c>
      <c r="F151" s="8" t="s">
        <v>1086</v>
      </c>
      <c r="G151" s="6" t="s">
        <v>90</v>
      </c>
      <c r="H151" s="6" t="s">
        <v>134</v>
      </c>
      <c r="I151" s="8" t="s">
        <v>40</v>
      </c>
      <c r="J151" s="9">
        <v>1</v>
      </c>
      <c r="K151" s="9">
        <v>296</v>
      </c>
      <c r="L151" s="9">
        <v>2025</v>
      </c>
      <c r="M151" s="8" t="s">
        <v>1087</v>
      </c>
      <c r="N151" s="8" t="s">
        <v>125</v>
      </c>
      <c r="O151" s="8" t="s">
        <v>126</v>
      </c>
      <c r="P151" s="6" t="s">
        <v>58</v>
      </c>
      <c r="Q151" s="8" t="s">
        <v>45</v>
      </c>
      <c r="R151" s="10" t="s">
        <v>1088</v>
      </c>
      <c r="S151" s="11" t="s">
        <v>1089</v>
      </c>
      <c r="T151" s="6"/>
      <c r="U151" s="24" t="str">
        <f>HYPERLINK("https://media.infra-m.ru/2139/2139027/cover/2139027.jpg", "Обложка")</f>
        <v>Обложка</v>
      </c>
      <c r="V151" s="24" t="str">
        <f>HYPERLINK("https://znanium.ru/catalog/product/2139027", "Ознакомиться")</f>
        <v>Ознакомиться</v>
      </c>
      <c r="W151" s="8"/>
      <c r="X151" s="6"/>
      <c r="Y151" s="6" t="s">
        <v>30</v>
      </c>
      <c r="Z151" s="6" t="s">
        <v>48</v>
      </c>
      <c r="AA151" s="6" t="s">
        <v>129</v>
      </c>
      <c r="AB151" s="8"/>
    </row>
    <row r="152" spans="1:28" s="4" customFormat="1" ht="51.95" customHeight="1">
      <c r="A152" s="5">
        <v>0</v>
      </c>
      <c r="B152" s="6" t="s">
        <v>1090</v>
      </c>
      <c r="C152" s="13">
        <v>430</v>
      </c>
      <c r="D152" s="8" t="s">
        <v>1091</v>
      </c>
      <c r="E152" s="8" t="s">
        <v>1085</v>
      </c>
      <c r="F152" s="8" t="s">
        <v>1092</v>
      </c>
      <c r="G152" s="6" t="s">
        <v>67</v>
      </c>
      <c r="H152" s="6" t="s">
        <v>68</v>
      </c>
      <c r="I152" s="8" t="s">
        <v>69</v>
      </c>
      <c r="J152" s="9">
        <v>1</v>
      </c>
      <c r="K152" s="9">
        <v>81</v>
      </c>
      <c r="L152" s="9">
        <v>2025</v>
      </c>
      <c r="M152" s="8" t="s">
        <v>1093</v>
      </c>
      <c r="N152" s="8" t="s">
        <v>125</v>
      </c>
      <c r="O152" s="8" t="s">
        <v>126</v>
      </c>
      <c r="P152" s="6" t="s">
        <v>44</v>
      </c>
      <c r="Q152" s="8" t="s">
        <v>45</v>
      </c>
      <c r="R152" s="10" t="s">
        <v>1088</v>
      </c>
      <c r="S152" s="11"/>
      <c r="T152" s="6"/>
      <c r="U152" s="24" t="str">
        <f>HYPERLINK("https://media.infra-m.ru/2183/2183395/cover/2183395.jpg", "Обложка")</f>
        <v>Обложка</v>
      </c>
      <c r="V152" s="24" t="str">
        <f>HYPERLINK("https://znanium.ru/catalog/product/2183395", "Ознакомиться")</f>
        <v>Ознакомиться</v>
      </c>
      <c r="W152" s="8"/>
      <c r="X152" s="6"/>
      <c r="Y152" s="6" t="s">
        <v>30</v>
      </c>
      <c r="Z152" s="6" t="s">
        <v>48</v>
      </c>
      <c r="AA152" s="6" t="s">
        <v>129</v>
      </c>
      <c r="AB152" s="8"/>
    </row>
    <row r="153" spans="1:28" s="4" customFormat="1" ht="51.95" customHeight="1">
      <c r="A153" s="5">
        <v>0</v>
      </c>
      <c r="B153" s="6" t="s">
        <v>1094</v>
      </c>
      <c r="C153" s="7">
        <v>1414</v>
      </c>
      <c r="D153" s="8" t="s">
        <v>1095</v>
      </c>
      <c r="E153" s="8" t="s">
        <v>1096</v>
      </c>
      <c r="F153" s="8" t="s">
        <v>1097</v>
      </c>
      <c r="G153" s="6" t="s">
        <v>67</v>
      </c>
      <c r="H153" s="6" t="s">
        <v>39</v>
      </c>
      <c r="I153" s="8" t="s">
        <v>40</v>
      </c>
      <c r="J153" s="9">
        <v>1</v>
      </c>
      <c r="K153" s="9">
        <v>272</v>
      </c>
      <c r="L153" s="9">
        <v>2025</v>
      </c>
      <c r="M153" s="8" t="s">
        <v>1098</v>
      </c>
      <c r="N153" s="8" t="s">
        <v>125</v>
      </c>
      <c r="O153" s="8" t="s">
        <v>126</v>
      </c>
      <c r="P153" s="6" t="s">
        <v>44</v>
      </c>
      <c r="Q153" s="8" t="s">
        <v>45</v>
      </c>
      <c r="R153" s="10" t="s">
        <v>1099</v>
      </c>
      <c r="S153" s="11" t="s">
        <v>1100</v>
      </c>
      <c r="T153" s="6"/>
      <c r="U153" s="24" t="str">
        <f>HYPERLINK("https://media.infra-m.ru/2196/2196860/cover/2196860.jpg", "Обложка")</f>
        <v>Обложка</v>
      </c>
      <c r="V153" s="24" t="str">
        <f>HYPERLINK("https://znanium.ru/catalog/product/1839669", "Ознакомиться")</f>
        <v>Ознакомиться</v>
      </c>
      <c r="W153" s="8" t="s">
        <v>73</v>
      </c>
      <c r="X153" s="6"/>
      <c r="Y153" s="6" t="s">
        <v>30</v>
      </c>
      <c r="Z153" s="6"/>
      <c r="AA153" s="6" t="s">
        <v>95</v>
      </c>
      <c r="AB153" s="8"/>
    </row>
    <row r="154" spans="1:28" s="4" customFormat="1" ht="51.95" customHeight="1">
      <c r="A154" s="5">
        <v>0</v>
      </c>
      <c r="B154" s="6" t="s">
        <v>1101</v>
      </c>
      <c r="C154" s="7">
        <v>1444</v>
      </c>
      <c r="D154" s="8" t="s">
        <v>1102</v>
      </c>
      <c r="E154" s="8" t="s">
        <v>1103</v>
      </c>
      <c r="F154" s="8" t="s">
        <v>1104</v>
      </c>
      <c r="G154" s="6" t="s">
        <v>90</v>
      </c>
      <c r="H154" s="6" t="s">
        <v>54</v>
      </c>
      <c r="I154" s="8" t="s">
        <v>40</v>
      </c>
      <c r="J154" s="9">
        <v>1</v>
      </c>
      <c r="K154" s="9">
        <v>288</v>
      </c>
      <c r="L154" s="9">
        <v>2025</v>
      </c>
      <c r="M154" s="8" t="s">
        <v>1105</v>
      </c>
      <c r="N154" s="8" t="s">
        <v>125</v>
      </c>
      <c r="O154" s="8" t="s">
        <v>126</v>
      </c>
      <c r="P154" s="6" t="s">
        <v>44</v>
      </c>
      <c r="Q154" s="8" t="s">
        <v>45</v>
      </c>
      <c r="R154" s="10" t="s">
        <v>1088</v>
      </c>
      <c r="S154" s="11" t="s">
        <v>1106</v>
      </c>
      <c r="T154" s="6"/>
      <c r="U154" s="24" t="str">
        <f>HYPERLINK("https://media.infra-m.ru/2185/2185920/cover/2185920.jpg", "Обложка")</f>
        <v>Обложка</v>
      </c>
      <c r="V154" s="24" t="str">
        <f>HYPERLINK("https://znanium.ru/catalog/product/1832175", "Ознакомиться")</f>
        <v>Ознакомиться</v>
      </c>
      <c r="W154" s="8"/>
      <c r="X154" s="6"/>
      <c r="Y154" s="6" t="s">
        <v>30</v>
      </c>
      <c r="Z154" s="6"/>
      <c r="AA154" s="6" t="s">
        <v>313</v>
      </c>
      <c r="AB154" s="8"/>
    </row>
    <row r="155" spans="1:28" s="4" customFormat="1" ht="51.95" customHeight="1">
      <c r="A155" s="5">
        <v>0</v>
      </c>
      <c r="B155" s="6" t="s">
        <v>1107</v>
      </c>
      <c r="C155" s="7">
        <v>1274</v>
      </c>
      <c r="D155" s="8" t="s">
        <v>1108</v>
      </c>
      <c r="E155" s="8" t="s">
        <v>1085</v>
      </c>
      <c r="F155" s="8" t="s">
        <v>1109</v>
      </c>
      <c r="G155" s="6" t="s">
        <v>90</v>
      </c>
      <c r="H155" s="6" t="s">
        <v>299</v>
      </c>
      <c r="I155" s="8" t="s">
        <v>1110</v>
      </c>
      <c r="J155" s="9">
        <v>1</v>
      </c>
      <c r="K155" s="9">
        <v>240</v>
      </c>
      <c r="L155" s="9">
        <v>2026</v>
      </c>
      <c r="M155" s="8" t="s">
        <v>1111</v>
      </c>
      <c r="N155" s="8" t="s">
        <v>125</v>
      </c>
      <c r="O155" s="8" t="s">
        <v>126</v>
      </c>
      <c r="P155" s="6" t="s">
        <v>44</v>
      </c>
      <c r="Q155" s="8" t="s">
        <v>45</v>
      </c>
      <c r="R155" s="10" t="s">
        <v>464</v>
      </c>
      <c r="S155" s="11" t="s">
        <v>1112</v>
      </c>
      <c r="T155" s="6"/>
      <c r="U155" s="24" t="str">
        <f>HYPERLINK("https://media.infra-m.ru/2223/2223166/cover/2223166.jpg", "Обложка")</f>
        <v>Обложка</v>
      </c>
      <c r="V155" s="24" t="str">
        <f>HYPERLINK("https://znanium.ru/catalog/product/2193242", "Ознакомиться")</f>
        <v>Ознакомиться</v>
      </c>
      <c r="W155" s="8" t="s">
        <v>466</v>
      </c>
      <c r="X155" s="6"/>
      <c r="Y155" s="6"/>
      <c r="Z155" s="6"/>
      <c r="AA155" s="6" t="s">
        <v>988</v>
      </c>
      <c r="AB155" s="8"/>
    </row>
    <row r="156" spans="1:28" s="4" customFormat="1" ht="44.1" customHeight="1">
      <c r="A156" s="5">
        <v>0</v>
      </c>
      <c r="B156" s="6" t="s">
        <v>1113</v>
      </c>
      <c r="C156" s="13">
        <v>854</v>
      </c>
      <c r="D156" s="8" t="s">
        <v>1114</v>
      </c>
      <c r="E156" s="8" t="s">
        <v>1115</v>
      </c>
      <c r="F156" s="8" t="s">
        <v>1116</v>
      </c>
      <c r="G156" s="6" t="s">
        <v>38</v>
      </c>
      <c r="H156" s="6" t="s">
        <v>54</v>
      </c>
      <c r="I156" s="8" t="s">
        <v>40</v>
      </c>
      <c r="J156" s="9">
        <v>1</v>
      </c>
      <c r="K156" s="9">
        <v>171</v>
      </c>
      <c r="L156" s="9">
        <v>2023</v>
      </c>
      <c r="M156" s="8" t="s">
        <v>1117</v>
      </c>
      <c r="N156" s="8" t="s">
        <v>42</v>
      </c>
      <c r="O156" s="8" t="s">
        <v>319</v>
      </c>
      <c r="P156" s="6" t="s">
        <v>44</v>
      </c>
      <c r="Q156" s="8" t="s">
        <v>45</v>
      </c>
      <c r="R156" s="10" t="s">
        <v>1118</v>
      </c>
      <c r="S156" s="11"/>
      <c r="T156" s="6"/>
      <c r="U156" s="24" t="str">
        <f>HYPERLINK("https://media.infra-m.ru/2089/2089314/cover/2089314.jpg", "Обложка")</f>
        <v>Обложка</v>
      </c>
      <c r="V156" s="24" t="str">
        <f>HYPERLINK("https://znanium.ru/catalog/product/1896453", "Ознакомиться")</f>
        <v>Ознакомиться</v>
      </c>
      <c r="W156" s="8" t="s">
        <v>293</v>
      </c>
      <c r="X156" s="6"/>
      <c r="Y156" s="6"/>
      <c r="Z156" s="6"/>
      <c r="AA156" s="6" t="s">
        <v>102</v>
      </c>
      <c r="AB156" s="8" t="s">
        <v>648</v>
      </c>
    </row>
    <row r="157" spans="1:28" s="4" customFormat="1" ht="51.95" customHeight="1">
      <c r="A157" s="5">
        <v>0</v>
      </c>
      <c r="B157" s="6" t="s">
        <v>1119</v>
      </c>
      <c r="C157" s="13">
        <v>610</v>
      </c>
      <c r="D157" s="8" t="s">
        <v>1120</v>
      </c>
      <c r="E157" s="8" t="s">
        <v>1121</v>
      </c>
      <c r="F157" s="8" t="s">
        <v>1116</v>
      </c>
      <c r="G157" s="6" t="s">
        <v>38</v>
      </c>
      <c r="H157" s="6" t="s">
        <v>54</v>
      </c>
      <c r="I157" s="8" t="s">
        <v>40</v>
      </c>
      <c r="J157" s="9">
        <v>1</v>
      </c>
      <c r="K157" s="9">
        <v>164</v>
      </c>
      <c r="L157" s="9">
        <v>2021</v>
      </c>
      <c r="M157" s="8" t="s">
        <v>1122</v>
      </c>
      <c r="N157" s="8" t="s">
        <v>42</v>
      </c>
      <c r="O157" s="8" t="s">
        <v>319</v>
      </c>
      <c r="P157" s="6" t="s">
        <v>58</v>
      </c>
      <c r="Q157" s="8" t="s">
        <v>45</v>
      </c>
      <c r="R157" s="10" t="s">
        <v>1123</v>
      </c>
      <c r="S157" s="11" t="s">
        <v>1124</v>
      </c>
      <c r="T157" s="6"/>
      <c r="U157" s="24" t="str">
        <f>HYPERLINK("https://media.infra-m.ru/1406/1406643/cover/1406643.jpg", "Обложка")</f>
        <v>Обложка</v>
      </c>
      <c r="V157" s="24" t="str">
        <f>HYPERLINK("https://znanium.ru/catalog/product/1406643", "Ознакомиться")</f>
        <v>Ознакомиться</v>
      </c>
      <c r="W157" s="8" t="s">
        <v>293</v>
      </c>
      <c r="X157" s="6"/>
      <c r="Y157" s="6"/>
      <c r="Z157" s="6" t="s">
        <v>48</v>
      </c>
      <c r="AA157" s="6" t="s">
        <v>223</v>
      </c>
      <c r="AB157" s="8"/>
    </row>
    <row r="158" spans="1:28" s="4" customFormat="1" ht="51.95" customHeight="1">
      <c r="A158" s="5">
        <v>0</v>
      </c>
      <c r="B158" s="6" t="s">
        <v>1125</v>
      </c>
      <c r="C158" s="13">
        <v>224.9</v>
      </c>
      <c r="D158" s="8" t="s">
        <v>1126</v>
      </c>
      <c r="E158" s="8" t="s">
        <v>1127</v>
      </c>
      <c r="F158" s="8" t="s">
        <v>1128</v>
      </c>
      <c r="G158" s="6" t="s">
        <v>67</v>
      </c>
      <c r="H158" s="6" t="s">
        <v>68</v>
      </c>
      <c r="I158" s="8" t="s">
        <v>1129</v>
      </c>
      <c r="J158" s="9">
        <v>1</v>
      </c>
      <c r="K158" s="9">
        <v>128</v>
      </c>
      <c r="L158" s="9">
        <v>2018</v>
      </c>
      <c r="M158" s="8" t="s">
        <v>1130</v>
      </c>
      <c r="N158" s="8" t="s">
        <v>535</v>
      </c>
      <c r="O158" s="8" t="s">
        <v>544</v>
      </c>
      <c r="P158" s="6" t="s">
        <v>44</v>
      </c>
      <c r="Q158" s="8" t="s">
        <v>45</v>
      </c>
      <c r="R158" s="10" t="s">
        <v>1131</v>
      </c>
      <c r="S158" s="11"/>
      <c r="T158" s="6"/>
      <c r="U158" s="24" t="str">
        <f>HYPERLINK("https://media.infra-m.ru/0944/0944988/cover/944988.jpg", "Обложка")</f>
        <v>Обложка</v>
      </c>
      <c r="V158" s="24" t="str">
        <f>HYPERLINK("https://znanium.ru/catalog/product/1062386", "Ознакомиться")</f>
        <v>Ознакомиться</v>
      </c>
      <c r="W158" s="8"/>
      <c r="X158" s="6"/>
      <c r="Y158" s="6"/>
      <c r="Z158" s="6"/>
      <c r="AA158" s="6" t="s">
        <v>237</v>
      </c>
      <c r="AB158" s="8"/>
    </row>
    <row r="159" spans="1:28" s="4" customFormat="1" ht="51.95" customHeight="1">
      <c r="A159" s="5">
        <v>0</v>
      </c>
      <c r="B159" s="6" t="s">
        <v>1132</v>
      </c>
      <c r="C159" s="13">
        <v>864</v>
      </c>
      <c r="D159" s="8" t="s">
        <v>1133</v>
      </c>
      <c r="E159" s="8" t="s">
        <v>1134</v>
      </c>
      <c r="F159" s="8" t="s">
        <v>1135</v>
      </c>
      <c r="G159" s="6" t="s">
        <v>90</v>
      </c>
      <c r="H159" s="6" t="s">
        <v>54</v>
      </c>
      <c r="I159" s="8" t="s">
        <v>40</v>
      </c>
      <c r="J159" s="9">
        <v>1</v>
      </c>
      <c r="K159" s="9">
        <v>172</v>
      </c>
      <c r="L159" s="9">
        <v>2024</v>
      </c>
      <c r="M159" s="8" t="s">
        <v>1136</v>
      </c>
      <c r="N159" s="8" t="s">
        <v>42</v>
      </c>
      <c r="O159" s="8" t="s">
        <v>553</v>
      </c>
      <c r="P159" s="6" t="s">
        <v>44</v>
      </c>
      <c r="Q159" s="8" t="s">
        <v>45</v>
      </c>
      <c r="R159" s="10" t="s">
        <v>1137</v>
      </c>
      <c r="S159" s="11" t="s">
        <v>1138</v>
      </c>
      <c r="T159" s="6"/>
      <c r="U159" s="24" t="str">
        <f>HYPERLINK("https://media.infra-m.ru/2083/2083826/cover/2083826.jpg", "Обложка")</f>
        <v>Обложка</v>
      </c>
      <c r="V159" s="24" t="str">
        <f>HYPERLINK("https://znanium.ru/catalog/product/2158058", "Ознакомиться")</f>
        <v>Ознакомиться</v>
      </c>
      <c r="W159" s="8" t="s">
        <v>1139</v>
      </c>
      <c r="X159" s="6"/>
      <c r="Y159" s="6"/>
      <c r="Z159" s="6"/>
      <c r="AA159" s="6" t="s">
        <v>111</v>
      </c>
      <c r="AB159" s="8"/>
    </row>
    <row r="160" spans="1:28" s="4" customFormat="1" ht="51.95" customHeight="1">
      <c r="A160" s="5">
        <v>0</v>
      </c>
      <c r="B160" s="6" t="s">
        <v>1140</v>
      </c>
      <c r="C160" s="7">
        <v>1030</v>
      </c>
      <c r="D160" s="8" t="s">
        <v>1141</v>
      </c>
      <c r="E160" s="8" t="s">
        <v>1142</v>
      </c>
      <c r="F160" s="8" t="s">
        <v>1135</v>
      </c>
      <c r="G160" s="6" t="s">
        <v>90</v>
      </c>
      <c r="H160" s="6" t="s">
        <v>54</v>
      </c>
      <c r="I160" s="8" t="s">
        <v>40</v>
      </c>
      <c r="J160" s="9">
        <v>1</v>
      </c>
      <c r="K160" s="9">
        <v>193</v>
      </c>
      <c r="L160" s="9">
        <v>2025</v>
      </c>
      <c r="M160" s="8" t="s">
        <v>1143</v>
      </c>
      <c r="N160" s="8" t="s">
        <v>42</v>
      </c>
      <c r="O160" s="8" t="s">
        <v>553</v>
      </c>
      <c r="P160" s="6" t="s">
        <v>44</v>
      </c>
      <c r="Q160" s="8" t="s">
        <v>45</v>
      </c>
      <c r="R160" s="10" t="s">
        <v>1137</v>
      </c>
      <c r="S160" s="11" t="s">
        <v>1138</v>
      </c>
      <c r="T160" s="6"/>
      <c r="U160" s="24" t="str">
        <f>HYPERLINK("https://media.infra-m.ru/2158/2158058/cover/2158058.jpg", "Обложка")</f>
        <v>Обложка</v>
      </c>
      <c r="V160" s="24" t="str">
        <f>HYPERLINK("https://znanium.ru/catalog/product/2158058", "Ознакомиться")</f>
        <v>Ознакомиться</v>
      </c>
      <c r="W160" s="8" t="s">
        <v>1139</v>
      </c>
      <c r="X160" s="6" t="s">
        <v>1144</v>
      </c>
      <c r="Y160" s="6"/>
      <c r="Z160" s="6"/>
      <c r="AA160" s="6" t="s">
        <v>231</v>
      </c>
      <c r="AB160" s="8"/>
    </row>
    <row r="161" spans="1:28" s="4" customFormat="1" ht="51.95" customHeight="1">
      <c r="A161" s="5">
        <v>0</v>
      </c>
      <c r="B161" s="6" t="s">
        <v>1145</v>
      </c>
      <c r="C161" s="13">
        <v>724</v>
      </c>
      <c r="D161" s="8" t="s">
        <v>1146</v>
      </c>
      <c r="E161" s="8" t="s">
        <v>1147</v>
      </c>
      <c r="F161" s="8" t="s">
        <v>1148</v>
      </c>
      <c r="G161" s="6" t="s">
        <v>38</v>
      </c>
      <c r="H161" s="6" t="s">
        <v>54</v>
      </c>
      <c r="I161" s="8" t="s">
        <v>40</v>
      </c>
      <c r="J161" s="9">
        <v>1</v>
      </c>
      <c r="K161" s="9">
        <v>155</v>
      </c>
      <c r="L161" s="9">
        <v>2024</v>
      </c>
      <c r="M161" s="8" t="s">
        <v>1149</v>
      </c>
      <c r="N161" s="8" t="s">
        <v>42</v>
      </c>
      <c r="O161" s="8" t="s">
        <v>319</v>
      </c>
      <c r="P161" s="6" t="s">
        <v>44</v>
      </c>
      <c r="Q161" s="8" t="s">
        <v>45</v>
      </c>
      <c r="R161" s="10" t="s">
        <v>1150</v>
      </c>
      <c r="S161" s="11" t="s">
        <v>1151</v>
      </c>
      <c r="T161" s="6"/>
      <c r="U161" s="24" t="str">
        <f>HYPERLINK("https://media.infra-m.ru/2144/2144235/cover/2144235.jpg", "Обложка")</f>
        <v>Обложка</v>
      </c>
      <c r="V161" s="24" t="str">
        <f>HYPERLINK("https://znanium.ru/catalog/product/1138875", "Ознакомиться")</f>
        <v>Ознакомиться</v>
      </c>
      <c r="W161" s="8" t="s">
        <v>1152</v>
      </c>
      <c r="X161" s="6"/>
      <c r="Y161" s="6"/>
      <c r="Z161" s="6" t="s">
        <v>48</v>
      </c>
      <c r="AA161" s="6" t="s">
        <v>129</v>
      </c>
      <c r="AB161" s="8"/>
    </row>
    <row r="162" spans="1:28" s="4" customFormat="1" ht="51.95" customHeight="1">
      <c r="A162" s="5">
        <v>0</v>
      </c>
      <c r="B162" s="6" t="s">
        <v>1153</v>
      </c>
      <c r="C162" s="7">
        <v>2130</v>
      </c>
      <c r="D162" s="8" t="s">
        <v>1154</v>
      </c>
      <c r="E162" s="8" t="s">
        <v>1155</v>
      </c>
      <c r="F162" s="8" t="s">
        <v>1148</v>
      </c>
      <c r="G162" s="6" t="s">
        <v>38</v>
      </c>
      <c r="H162" s="6" t="s">
        <v>54</v>
      </c>
      <c r="I162" s="8" t="s">
        <v>40</v>
      </c>
      <c r="J162" s="9">
        <v>1</v>
      </c>
      <c r="K162" s="9">
        <v>454</v>
      </c>
      <c r="L162" s="9">
        <v>2024</v>
      </c>
      <c r="M162" s="8" t="s">
        <v>1156</v>
      </c>
      <c r="N162" s="8" t="s">
        <v>42</v>
      </c>
      <c r="O162" s="8" t="s">
        <v>319</v>
      </c>
      <c r="P162" s="6" t="s">
        <v>58</v>
      </c>
      <c r="Q162" s="8" t="s">
        <v>45</v>
      </c>
      <c r="R162" s="10" t="s">
        <v>1157</v>
      </c>
      <c r="S162" s="11" t="s">
        <v>1158</v>
      </c>
      <c r="T162" s="6"/>
      <c r="U162" s="24" t="str">
        <f>HYPERLINK("https://media.infra-m.ru/2139/2139075/cover/2139075.jpg", "Обложка")</f>
        <v>Обложка</v>
      </c>
      <c r="V162" s="24" t="str">
        <f>HYPERLINK("https://znanium.ru/catalog/product/2139075", "Ознакомиться")</f>
        <v>Ознакомиться</v>
      </c>
      <c r="W162" s="8" t="s">
        <v>1152</v>
      </c>
      <c r="X162" s="6"/>
      <c r="Y162" s="6"/>
      <c r="Z162" s="6" t="s">
        <v>48</v>
      </c>
      <c r="AA162" s="6" t="s">
        <v>129</v>
      </c>
      <c r="AB162" s="8"/>
    </row>
    <row r="163" spans="1:28" s="4" customFormat="1" ht="51.95" customHeight="1">
      <c r="A163" s="5">
        <v>0</v>
      </c>
      <c r="B163" s="6" t="s">
        <v>1159</v>
      </c>
      <c r="C163" s="13">
        <v>740</v>
      </c>
      <c r="D163" s="8" t="s">
        <v>1160</v>
      </c>
      <c r="E163" s="8" t="s">
        <v>1161</v>
      </c>
      <c r="F163" s="8" t="s">
        <v>1162</v>
      </c>
      <c r="G163" s="6" t="s">
        <v>90</v>
      </c>
      <c r="H163" s="6" t="s">
        <v>54</v>
      </c>
      <c r="I163" s="8" t="s">
        <v>40</v>
      </c>
      <c r="J163" s="9">
        <v>1</v>
      </c>
      <c r="K163" s="9">
        <v>142</v>
      </c>
      <c r="L163" s="9">
        <v>2025</v>
      </c>
      <c r="M163" s="8" t="s">
        <v>1163</v>
      </c>
      <c r="N163" s="8" t="s">
        <v>535</v>
      </c>
      <c r="O163" s="8" t="s">
        <v>544</v>
      </c>
      <c r="P163" s="6" t="s">
        <v>44</v>
      </c>
      <c r="Q163" s="8" t="s">
        <v>45</v>
      </c>
      <c r="R163" s="10" t="s">
        <v>1164</v>
      </c>
      <c r="S163" s="11" t="s">
        <v>1165</v>
      </c>
      <c r="T163" s="6" t="s">
        <v>118</v>
      </c>
      <c r="U163" s="24" t="str">
        <f>HYPERLINK("https://media.infra-m.ru/2175/2175286/cover/2175286.jpg", "Обложка")</f>
        <v>Обложка</v>
      </c>
      <c r="V163" s="24" t="str">
        <f>HYPERLINK("https://znanium.ru/catalog/product/2175286", "Ознакомиться")</f>
        <v>Ознакомиться</v>
      </c>
      <c r="W163" s="8" t="s">
        <v>1166</v>
      </c>
      <c r="X163" s="6"/>
      <c r="Y163" s="6"/>
      <c r="Z163" s="6" t="s">
        <v>48</v>
      </c>
      <c r="AA163" s="6" t="s">
        <v>740</v>
      </c>
      <c r="AB163" s="8"/>
    </row>
    <row r="164" spans="1:28" s="4" customFormat="1" ht="51.95" customHeight="1">
      <c r="A164" s="5">
        <v>0</v>
      </c>
      <c r="B164" s="6" t="s">
        <v>1167</v>
      </c>
      <c r="C164" s="7">
        <v>1400</v>
      </c>
      <c r="D164" s="8" t="s">
        <v>1168</v>
      </c>
      <c r="E164" s="8" t="s">
        <v>1169</v>
      </c>
      <c r="F164" s="8" t="s">
        <v>1170</v>
      </c>
      <c r="G164" s="6" t="s">
        <v>90</v>
      </c>
      <c r="H164" s="6" t="s">
        <v>39</v>
      </c>
      <c r="I164" s="8" t="s">
        <v>40</v>
      </c>
      <c r="J164" s="9">
        <v>1</v>
      </c>
      <c r="K164" s="9">
        <v>280</v>
      </c>
      <c r="L164" s="9">
        <v>2024</v>
      </c>
      <c r="M164" s="8" t="s">
        <v>1171</v>
      </c>
      <c r="N164" s="8" t="s">
        <v>42</v>
      </c>
      <c r="O164" s="8" t="s">
        <v>243</v>
      </c>
      <c r="P164" s="6" t="s">
        <v>58</v>
      </c>
      <c r="Q164" s="8" t="s">
        <v>45</v>
      </c>
      <c r="R164" s="10" t="s">
        <v>1172</v>
      </c>
      <c r="S164" s="11" t="s">
        <v>1173</v>
      </c>
      <c r="T164" s="6"/>
      <c r="U164" s="24" t="str">
        <f>HYPERLINK("https://media.infra-m.ru/2156/2156900/cover/2156900.jpg", "Обложка")</f>
        <v>Обложка</v>
      </c>
      <c r="V164" s="24" t="str">
        <f>HYPERLINK("https://znanium.ru/catalog/product/2156900", "Ознакомиться")</f>
        <v>Ознакомиться</v>
      </c>
      <c r="W164" s="8" t="s">
        <v>172</v>
      </c>
      <c r="X164" s="6"/>
      <c r="Y164" s="6"/>
      <c r="Z164" s="6" t="s">
        <v>48</v>
      </c>
      <c r="AA164" s="6" t="s">
        <v>999</v>
      </c>
      <c r="AB164" s="8"/>
    </row>
    <row r="165" spans="1:28" s="4" customFormat="1" ht="42" customHeight="1">
      <c r="A165" s="5">
        <v>0</v>
      </c>
      <c r="B165" s="6" t="s">
        <v>1174</v>
      </c>
      <c r="C165" s="7">
        <v>1870</v>
      </c>
      <c r="D165" s="8" t="s">
        <v>1175</v>
      </c>
      <c r="E165" s="8" t="s">
        <v>1176</v>
      </c>
      <c r="F165" s="8" t="s">
        <v>1177</v>
      </c>
      <c r="G165" s="6" t="s">
        <v>38</v>
      </c>
      <c r="H165" s="6" t="s">
        <v>54</v>
      </c>
      <c r="I165" s="8" t="s">
        <v>568</v>
      </c>
      <c r="J165" s="9">
        <v>1</v>
      </c>
      <c r="K165" s="9">
        <v>366</v>
      </c>
      <c r="L165" s="9">
        <v>2025</v>
      </c>
      <c r="M165" s="8" t="s">
        <v>1178</v>
      </c>
      <c r="N165" s="8" t="s">
        <v>535</v>
      </c>
      <c r="O165" s="8" t="s">
        <v>544</v>
      </c>
      <c r="P165" s="6" t="s">
        <v>44</v>
      </c>
      <c r="Q165" s="8" t="s">
        <v>45</v>
      </c>
      <c r="R165" s="10" t="s">
        <v>1179</v>
      </c>
      <c r="S165" s="11"/>
      <c r="T165" s="6"/>
      <c r="U165" s="24" t="str">
        <f>HYPERLINK("https://media.infra-m.ru/2169/2169858/cover/2169858.jpg", "Обложка")</f>
        <v>Обложка</v>
      </c>
      <c r="V165" s="24" t="str">
        <f>HYPERLINK("https://znanium.ru/catalog/product/2169858", "Ознакомиться")</f>
        <v>Ознакомиться</v>
      </c>
      <c r="W165" s="8" t="s">
        <v>1180</v>
      </c>
      <c r="X165" s="6" t="s">
        <v>367</v>
      </c>
      <c r="Y165" s="6"/>
      <c r="Z165" s="6" t="s">
        <v>48</v>
      </c>
      <c r="AA165" s="6" t="s">
        <v>84</v>
      </c>
      <c r="AB165" s="8"/>
    </row>
    <row r="166" spans="1:28" s="4" customFormat="1" ht="51.95" customHeight="1">
      <c r="A166" s="5">
        <v>0</v>
      </c>
      <c r="B166" s="6" t="s">
        <v>1181</v>
      </c>
      <c r="C166" s="7">
        <v>1830</v>
      </c>
      <c r="D166" s="8" t="s">
        <v>1182</v>
      </c>
      <c r="E166" s="8" t="s">
        <v>1183</v>
      </c>
      <c r="F166" s="8" t="s">
        <v>1184</v>
      </c>
      <c r="G166" s="6" t="s">
        <v>90</v>
      </c>
      <c r="H166" s="6" t="s">
        <v>54</v>
      </c>
      <c r="I166" s="8" t="s">
        <v>40</v>
      </c>
      <c r="J166" s="9">
        <v>1</v>
      </c>
      <c r="K166" s="9">
        <v>351</v>
      </c>
      <c r="L166" s="9">
        <v>2025</v>
      </c>
      <c r="M166" s="8" t="s">
        <v>1185</v>
      </c>
      <c r="N166" s="8" t="s">
        <v>535</v>
      </c>
      <c r="O166" s="8" t="s">
        <v>544</v>
      </c>
      <c r="P166" s="6" t="s">
        <v>44</v>
      </c>
      <c r="Q166" s="8" t="s">
        <v>45</v>
      </c>
      <c r="R166" s="10" t="s">
        <v>1186</v>
      </c>
      <c r="S166" s="11" t="s">
        <v>1187</v>
      </c>
      <c r="T166" s="6"/>
      <c r="U166" s="24" t="str">
        <f>HYPERLINK("https://media.infra-m.ru/2206/2206787/cover/2206787.jpg", "Обложка")</f>
        <v>Обложка</v>
      </c>
      <c r="V166" s="24" t="str">
        <f>HYPERLINK("https://znanium.ru/catalog/product/2206787", "Ознакомиться")</f>
        <v>Ознакомиться</v>
      </c>
      <c r="W166" s="8" t="s">
        <v>1188</v>
      </c>
      <c r="X166" s="6"/>
      <c r="Y166" s="6"/>
      <c r="Z166" s="6" t="s">
        <v>48</v>
      </c>
      <c r="AA166" s="6" t="s">
        <v>740</v>
      </c>
      <c r="AB166" s="8"/>
    </row>
    <row r="167" spans="1:28" s="4" customFormat="1" ht="51.95" customHeight="1">
      <c r="A167" s="5">
        <v>0</v>
      </c>
      <c r="B167" s="6" t="s">
        <v>1189</v>
      </c>
      <c r="C167" s="13">
        <v>744</v>
      </c>
      <c r="D167" s="8" t="s">
        <v>1190</v>
      </c>
      <c r="E167" s="8" t="s">
        <v>1191</v>
      </c>
      <c r="F167" s="8" t="s">
        <v>1192</v>
      </c>
      <c r="G167" s="6" t="s">
        <v>67</v>
      </c>
      <c r="H167" s="6" t="s">
        <v>54</v>
      </c>
      <c r="I167" s="8" t="s">
        <v>40</v>
      </c>
      <c r="J167" s="9">
        <v>1</v>
      </c>
      <c r="K167" s="9">
        <v>137</v>
      </c>
      <c r="L167" s="9">
        <v>2026</v>
      </c>
      <c r="M167" s="8" t="s">
        <v>1193</v>
      </c>
      <c r="N167" s="8" t="s">
        <v>125</v>
      </c>
      <c r="O167" s="8" t="s">
        <v>432</v>
      </c>
      <c r="P167" s="6" t="s">
        <v>44</v>
      </c>
      <c r="Q167" s="8" t="s">
        <v>45</v>
      </c>
      <c r="R167" s="10" t="s">
        <v>908</v>
      </c>
      <c r="S167" s="11" t="s">
        <v>1194</v>
      </c>
      <c r="T167" s="6"/>
      <c r="U167" s="24" t="str">
        <f>HYPERLINK("https://media.infra-m.ru/2219/2219045/cover/2219045.jpg", "Обложка")</f>
        <v>Обложка</v>
      </c>
      <c r="V167" s="24" t="str">
        <f>HYPERLINK("https://znanium.ru/catalog/product/1901905", "Ознакомиться")</f>
        <v>Ознакомиться</v>
      </c>
      <c r="W167" s="8" t="s">
        <v>1195</v>
      </c>
      <c r="X167" s="6"/>
      <c r="Y167" s="6"/>
      <c r="Z167" s="6"/>
      <c r="AA167" s="6" t="s">
        <v>563</v>
      </c>
      <c r="AB167" s="8"/>
    </row>
    <row r="168" spans="1:28" s="4" customFormat="1" ht="51.95" customHeight="1">
      <c r="A168" s="5">
        <v>0</v>
      </c>
      <c r="B168" s="6" t="s">
        <v>1196</v>
      </c>
      <c r="C168" s="7">
        <v>1084</v>
      </c>
      <c r="D168" s="8" t="s">
        <v>1197</v>
      </c>
      <c r="E168" s="8" t="s">
        <v>1198</v>
      </c>
      <c r="F168" s="8" t="s">
        <v>1199</v>
      </c>
      <c r="G168" s="6" t="s">
        <v>90</v>
      </c>
      <c r="H168" s="6" t="s">
        <v>54</v>
      </c>
      <c r="I168" s="8" t="s">
        <v>40</v>
      </c>
      <c r="J168" s="9">
        <v>1</v>
      </c>
      <c r="K168" s="9">
        <v>208</v>
      </c>
      <c r="L168" s="9">
        <v>2025</v>
      </c>
      <c r="M168" s="8" t="s">
        <v>1200</v>
      </c>
      <c r="N168" s="8" t="s">
        <v>125</v>
      </c>
      <c r="O168" s="8" t="s">
        <v>432</v>
      </c>
      <c r="P168" s="6" t="s">
        <v>58</v>
      </c>
      <c r="Q168" s="8" t="s">
        <v>45</v>
      </c>
      <c r="R168" s="10" t="s">
        <v>908</v>
      </c>
      <c r="S168" s="11" t="s">
        <v>1201</v>
      </c>
      <c r="T168" s="6"/>
      <c r="U168" s="24" t="str">
        <f>HYPERLINK("https://media.infra-m.ru/2199/2199663/cover/2199663.jpg", "Обложка")</f>
        <v>Обложка</v>
      </c>
      <c r="V168" s="24" t="str">
        <f>HYPERLINK("https://znanium.ru/catalog/product/2179484", "Ознакомиться")</f>
        <v>Ознакомиться</v>
      </c>
      <c r="W168" s="8" t="s">
        <v>172</v>
      </c>
      <c r="X168" s="6"/>
      <c r="Y168" s="6"/>
      <c r="Z168" s="6"/>
      <c r="AA168" s="6" t="s">
        <v>740</v>
      </c>
      <c r="AB168" s="8" t="s">
        <v>860</v>
      </c>
    </row>
    <row r="169" spans="1:28" s="4" customFormat="1" ht="51.95" customHeight="1">
      <c r="A169" s="5">
        <v>0</v>
      </c>
      <c r="B169" s="6" t="s">
        <v>1202</v>
      </c>
      <c r="C169" s="7">
        <v>1690</v>
      </c>
      <c r="D169" s="8" t="s">
        <v>1203</v>
      </c>
      <c r="E169" s="8" t="s">
        <v>1204</v>
      </c>
      <c r="F169" s="8" t="s">
        <v>1205</v>
      </c>
      <c r="G169" s="6" t="s">
        <v>90</v>
      </c>
      <c r="H169" s="6" t="s">
        <v>39</v>
      </c>
      <c r="I169" s="8" t="s">
        <v>40</v>
      </c>
      <c r="J169" s="9">
        <v>1</v>
      </c>
      <c r="K169" s="9">
        <v>325</v>
      </c>
      <c r="L169" s="9">
        <v>2025</v>
      </c>
      <c r="M169" s="8" t="s">
        <v>1206</v>
      </c>
      <c r="N169" s="8" t="s">
        <v>125</v>
      </c>
      <c r="O169" s="8" t="s">
        <v>432</v>
      </c>
      <c r="P169" s="6" t="s">
        <v>44</v>
      </c>
      <c r="Q169" s="8" t="s">
        <v>45</v>
      </c>
      <c r="R169" s="10" t="s">
        <v>1207</v>
      </c>
      <c r="S169" s="11" t="s">
        <v>472</v>
      </c>
      <c r="T169" s="6"/>
      <c r="U169" s="24" t="str">
        <f>HYPERLINK("https://media.infra-m.ru/2180/2180463/cover/2180463.jpg", "Обложка")</f>
        <v>Обложка</v>
      </c>
      <c r="V169" s="24" t="str">
        <f>HYPERLINK("https://znanium.ru/catalog/product/2180463", "Ознакомиться")</f>
        <v>Ознакомиться</v>
      </c>
      <c r="W169" s="8" t="s">
        <v>1208</v>
      </c>
      <c r="X169" s="6"/>
      <c r="Y169" s="6"/>
      <c r="Z169" s="6" t="s">
        <v>48</v>
      </c>
      <c r="AA169" s="6" t="s">
        <v>563</v>
      </c>
      <c r="AB169" s="8"/>
    </row>
    <row r="170" spans="1:28" s="4" customFormat="1" ht="51.95" customHeight="1">
      <c r="A170" s="5">
        <v>0</v>
      </c>
      <c r="B170" s="6" t="s">
        <v>1209</v>
      </c>
      <c r="C170" s="7">
        <v>2290</v>
      </c>
      <c r="D170" s="8" t="s">
        <v>1210</v>
      </c>
      <c r="E170" s="8" t="s">
        <v>1211</v>
      </c>
      <c r="F170" s="8" t="s">
        <v>1212</v>
      </c>
      <c r="G170" s="6" t="s">
        <v>38</v>
      </c>
      <c r="H170" s="6" t="s">
        <v>39</v>
      </c>
      <c r="I170" s="8" t="s">
        <v>40</v>
      </c>
      <c r="J170" s="9">
        <v>1</v>
      </c>
      <c r="K170" s="9">
        <v>479</v>
      </c>
      <c r="L170" s="9">
        <v>2025</v>
      </c>
      <c r="M170" s="8" t="s">
        <v>1213</v>
      </c>
      <c r="N170" s="8" t="s">
        <v>125</v>
      </c>
      <c r="O170" s="8" t="s">
        <v>432</v>
      </c>
      <c r="P170" s="6" t="s">
        <v>44</v>
      </c>
      <c r="Q170" s="8" t="s">
        <v>45</v>
      </c>
      <c r="R170" s="10" t="s">
        <v>1214</v>
      </c>
      <c r="S170" s="11" t="s">
        <v>1215</v>
      </c>
      <c r="T170" s="6"/>
      <c r="U170" s="24" t="str">
        <f>HYPERLINK("https://media.infra-m.ru/2187/2187243/cover/2187243.jpg", "Обложка")</f>
        <v>Обложка</v>
      </c>
      <c r="V170" s="24" t="str">
        <f>HYPERLINK("https://znanium.ru/catalog/product/2187243", "Ознакомиться")</f>
        <v>Ознакомиться</v>
      </c>
      <c r="W170" s="8" t="s">
        <v>82</v>
      </c>
      <c r="X170" s="6"/>
      <c r="Y170" s="6"/>
      <c r="Z170" s="6" t="s">
        <v>48</v>
      </c>
      <c r="AA170" s="6" t="s">
        <v>500</v>
      </c>
      <c r="AB170" s="8"/>
    </row>
    <row r="171" spans="1:28" s="4" customFormat="1" ht="51.95" customHeight="1">
      <c r="A171" s="5">
        <v>0</v>
      </c>
      <c r="B171" s="6" t="s">
        <v>1216</v>
      </c>
      <c r="C171" s="7">
        <v>1850</v>
      </c>
      <c r="D171" s="8" t="s">
        <v>1217</v>
      </c>
      <c r="E171" s="8" t="s">
        <v>1218</v>
      </c>
      <c r="F171" s="8" t="s">
        <v>1219</v>
      </c>
      <c r="G171" s="6" t="s">
        <v>90</v>
      </c>
      <c r="H171" s="6" t="s">
        <v>54</v>
      </c>
      <c r="I171" s="8" t="s">
        <v>40</v>
      </c>
      <c r="J171" s="9">
        <v>1</v>
      </c>
      <c r="K171" s="9">
        <v>355</v>
      </c>
      <c r="L171" s="9">
        <v>2025</v>
      </c>
      <c r="M171" s="8" t="s">
        <v>1220</v>
      </c>
      <c r="N171" s="8" t="s">
        <v>125</v>
      </c>
      <c r="O171" s="8" t="s">
        <v>432</v>
      </c>
      <c r="P171" s="6" t="s">
        <v>58</v>
      </c>
      <c r="Q171" s="8" t="s">
        <v>45</v>
      </c>
      <c r="R171" s="10" t="s">
        <v>1221</v>
      </c>
      <c r="S171" s="11" t="s">
        <v>1222</v>
      </c>
      <c r="T171" s="6"/>
      <c r="U171" s="24" t="str">
        <f>HYPERLINK("https://media.infra-m.ru/2214/2214253/cover/2214253.jpg", "Обложка")</f>
        <v>Обложка</v>
      </c>
      <c r="V171" s="24" t="str">
        <f>HYPERLINK("https://znanium.ru/catalog/product/2214253", "Ознакомиться")</f>
        <v>Ознакомиться</v>
      </c>
      <c r="W171" s="8" t="s">
        <v>1223</v>
      </c>
      <c r="X171" s="6"/>
      <c r="Y171" s="6"/>
      <c r="Z171" s="6" t="s">
        <v>48</v>
      </c>
      <c r="AA171" s="6" t="s">
        <v>223</v>
      </c>
      <c r="AB171" s="8"/>
    </row>
    <row r="172" spans="1:28" s="4" customFormat="1" ht="51.95" customHeight="1">
      <c r="A172" s="5">
        <v>0</v>
      </c>
      <c r="B172" s="6" t="s">
        <v>1224</v>
      </c>
      <c r="C172" s="13">
        <v>944</v>
      </c>
      <c r="D172" s="8" t="s">
        <v>1225</v>
      </c>
      <c r="E172" s="8" t="s">
        <v>1226</v>
      </c>
      <c r="F172" s="8" t="s">
        <v>1227</v>
      </c>
      <c r="G172" s="6" t="s">
        <v>90</v>
      </c>
      <c r="H172" s="6" t="s">
        <v>54</v>
      </c>
      <c r="I172" s="8" t="s">
        <v>40</v>
      </c>
      <c r="J172" s="9">
        <v>1</v>
      </c>
      <c r="K172" s="9">
        <v>182</v>
      </c>
      <c r="L172" s="9">
        <v>2025</v>
      </c>
      <c r="M172" s="8" t="s">
        <v>1228</v>
      </c>
      <c r="N172" s="8" t="s">
        <v>125</v>
      </c>
      <c r="O172" s="8" t="s">
        <v>432</v>
      </c>
      <c r="P172" s="6" t="s">
        <v>58</v>
      </c>
      <c r="Q172" s="8" t="s">
        <v>45</v>
      </c>
      <c r="R172" s="10" t="s">
        <v>1229</v>
      </c>
      <c r="S172" s="11" t="s">
        <v>1230</v>
      </c>
      <c r="T172" s="6"/>
      <c r="U172" s="24" t="str">
        <f>HYPERLINK("https://media.infra-m.ru/2197/2197810/cover/2197810.jpg", "Обложка")</f>
        <v>Обложка</v>
      </c>
      <c r="V172" s="24" t="str">
        <f>HYPERLINK("https://znanium.ru/catalog/product/1926391", "Ознакомиться")</f>
        <v>Ознакомиться</v>
      </c>
      <c r="W172" s="8" t="s">
        <v>1007</v>
      </c>
      <c r="X172" s="6"/>
      <c r="Y172" s="6"/>
      <c r="Z172" s="6"/>
      <c r="AA172" s="6" t="s">
        <v>223</v>
      </c>
      <c r="AB172" s="8" t="s">
        <v>869</v>
      </c>
    </row>
    <row r="173" spans="1:28" s="4" customFormat="1" ht="51.95" customHeight="1">
      <c r="A173" s="5">
        <v>0</v>
      </c>
      <c r="B173" s="6" t="s">
        <v>1231</v>
      </c>
      <c r="C173" s="7">
        <v>2680</v>
      </c>
      <c r="D173" s="8" t="s">
        <v>1232</v>
      </c>
      <c r="E173" s="8" t="s">
        <v>1233</v>
      </c>
      <c r="F173" s="8" t="s">
        <v>1234</v>
      </c>
      <c r="G173" s="6" t="s">
        <v>38</v>
      </c>
      <c r="H173" s="6" t="s">
        <v>54</v>
      </c>
      <c r="I173" s="8" t="s">
        <v>40</v>
      </c>
      <c r="J173" s="9">
        <v>1</v>
      </c>
      <c r="K173" s="9">
        <v>535</v>
      </c>
      <c r="L173" s="9">
        <v>2025</v>
      </c>
      <c r="M173" s="8" t="s">
        <v>1235</v>
      </c>
      <c r="N173" s="8" t="s">
        <v>125</v>
      </c>
      <c r="O173" s="8" t="s">
        <v>432</v>
      </c>
      <c r="P173" s="6" t="s">
        <v>58</v>
      </c>
      <c r="Q173" s="8" t="s">
        <v>45</v>
      </c>
      <c r="R173" s="10" t="s">
        <v>1236</v>
      </c>
      <c r="S173" s="11"/>
      <c r="T173" s="6"/>
      <c r="U173" s="24" t="str">
        <f>HYPERLINK("https://media.infra-m.ru/2108/2108588/cover/2108588.jpg", "Обложка")</f>
        <v>Обложка</v>
      </c>
      <c r="V173" s="24" t="str">
        <f>HYPERLINK("https://znanium.ru/catalog/product/2108588", "Ознакомиться")</f>
        <v>Ознакомиться</v>
      </c>
      <c r="W173" s="8" t="s">
        <v>484</v>
      </c>
      <c r="X173" s="6"/>
      <c r="Y173" s="6"/>
      <c r="Z173" s="6"/>
      <c r="AA173" s="6" t="s">
        <v>368</v>
      </c>
      <c r="AB173" s="8"/>
    </row>
    <row r="174" spans="1:28" s="4" customFormat="1" ht="51.95" customHeight="1">
      <c r="A174" s="5">
        <v>0</v>
      </c>
      <c r="B174" s="6" t="s">
        <v>1237</v>
      </c>
      <c r="C174" s="7">
        <v>1250</v>
      </c>
      <c r="D174" s="8" t="s">
        <v>1238</v>
      </c>
      <c r="E174" s="8" t="s">
        <v>1239</v>
      </c>
      <c r="F174" s="8" t="s">
        <v>1240</v>
      </c>
      <c r="G174" s="6" t="s">
        <v>90</v>
      </c>
      <c r="H174" s="6" t="s">
        <v>54</v>
      </c>
      <c r="I174" s="8" t="s">
        <v>40</v>
      </c>
      <c r="J174" s="9">
        <v>1</v>
      </c>
      <c r="K174" s="9">
        <v>304</v>
      </c>
      <c r="L174" s="9">
        <v>2022</v>
      </c>
      <c r="M174" s="8" t="s">
        <v>1241</v>
      </c>
      <c r="N174" s="8" t="s">
        <v>125</v>
      </c>
      <c r="O174" s="8" t="s">
        <v>432</v>
      </c>
      <c r="P174" s="6" t="s">
        <v>44</v>
      </c>
      <c r="Q174" s="8" t="s">
        <v>45</v>
      </c>
      <c r="R174" s="10" t="s">
        <v>1242</v>
      </c>
      <c r="S174" s="11" t="s">
        <v>1243</v>
      </c>
      <c r="T174" s="6"/>
      <c r="U174" s="24" t="str">
        <f>HYPERLINK("https://media.infra-m.ru/1843/1843263/cover/1843263.jpg", "Обложка")</f>
        <v>Обложка</v>
      </c>
      <c r="V174" s="24" t="str">
        <f>HYPERLINK("https://znanium.ru/catalog/product/2135816", "Ознакомиться")</f>
        <v>Ознакомиться</v>
      </c>
      <c r="W174" s="8" t="s">
        <v>1244</v>
      </c>
      <c r="X174" s="6"/>
      <c r="Y174" s="6"/>
      <c r="Z174" s="6"/>
      <c r="AA174" s="6" t="s">
        <v>393</v>
      </c>
      <c r="AB174" s="8"/>
    </row>
    <row r="175" spans="1:28" s="4" customFormat="1" ht="51.95" customHeight="1">
      <c r="A175" s="5">
        <v>0</v>
      </c>
      <c r="B175" s="6" t="s">
        <v>1245</v>
      </c>
      <c r="C175" s="7">
        <v>1144.9000000000001</v>
      </c>
      <c r="D175" s="8" t="s">
        <v>1246</v>
      </c>
      <c r="E175" s="8" t="s">
        <v>1233</v>
      </c>
      <c r="F175" s="8" t="s">
        <v>1240</v>
      </c>
      <c r="G175" s="6" t="s">
        <v>67</v>
      </c>
      <c r="H175" s="6" t="s">
        <v>39</v>
      </c>
      <c r="I175" s="8" t="s">
        <v>69</v>
      </c>
      <c r="J175" s="9">
        <v>1</v>
      </c>
      <c r="K175" s="9">
        <v>318</v>
      </c>
      <c r="L175" s="9">
        <v>2020</v>
      </c>
      <c r="M175" s="8" t="s">
        <v>1247</v>
      </c>
      <c r="N175" s="8" t="s">
        <v>125</v>
      </c>
      <c r="O175" s="8" t="s">
        <v>432</v>
      </c>
      <c r="P175" s="6" t="s">
        <v>44</v>
      </c>
      <c r="Q175" s="8" t="s">
        <v>45</v>
      </c>
      <c r="R175" s="10" t="s">
        <v>1242</v>
      </c>
      <c r="S175" s="11" t="s">
        <v>1248</v>
      </c>
      <c r="T175" s="6"/>
      <c r="U175" s="24" t="str">
        <f>HYPERLINK("https://media.infra-m.ru/1141/1141787/cover/1141787.jpg", "Обложка")</f>
        <v>Обложка</v>
      </c>
      <c r="V175" s="24" t="str">
        <f>HYPERLINK("https://znanium.ru/catalog/product/2135816", "Ознакомиться")</f>
        <v>Ознакомиться</v>
      </c>
      <c r="W175" s="8" t="s">
        <v>1244</v>
      </c>
      <c r="X175" s="6"/>
      <c r="Y175" s="6"/>
      <c r="Z175" s="6"/>
      <c r="AA175" s="6" t="s">
        <v>387</v>
      </c>
      <c r="AB175" s="8"/>
    </row>
    <row r="176" spans="1:28" s="4" customFormat="1" ht="51.95" customHeight="1">
      <c r="A176" s="5">
        <v>0</v>
      </c>
      <c r="B176" s="6" t="s">
        <v>1249</v>
      </c>
      <c r="C176" s="7">
        <v>1540</v>
      </c>
      <c r="D176" s="8" t="s">
        <v>1250</v>
      </c>
      <c r="E176" s="8" t="s">
        <v>1251</v>
      </c>
      <c r="F176" s="8" t="s">
        <v>1240</v>
      </c>
      <c r="G176" s="6" t="s">
        <v>38</v>
      </c>
      <c r="H176" s="6" t="s">
        <v>54</v>
      </c>
      <c r="I176" s="8" t="s">
        <v>79</v>
      </c>
      <c r="J176" s="9">
        <v>1</v>
      </c>
      <c r="K176" s="9">
        <v>306</v>
      </c>
      <c r="L176" s="9">
        <v>2025</v>
      </c>
      <c r="M176" s="8" t="s">
        <v>1252</v>
      </c>
      <c r="N176" s="8" t="s">
        <v>125</v>
      </c>
      <c r="O176" s="8" t="s">
        <v>432</v>
      </c>
      <c r="P176" s="6" t="s">
        <v>44</v>
      </c>
      <c r="Q176" s="8" t="s">
        <v>45</v>
      </c>
      <c r="R176" s="10" t="s">
        <v>1242</v>
      </c>
      <c r="S176" s="11"/>
      <c r="T176" s="6"/>
      <c r="U176" s="24" t="str">
        <f>HYPERLINK("https://media.infra-m.ru/2135/2135816/cover/2135816.jpg", "Обложка")</f>
        <v>Обложка</v>
      </c>
      <c r="V176" s="24" t="str">
        <f>HYPERLINK("https://znanium.ru/catalog/product/2135816", "Ознакомиться")</f>
        <v>Ознакомиться</v>
      </c>
      <c r="W176" s="8" t="s">
        <v>1244</v>
      </c>
      <c r="X176" s="6"/>
      <c r="Y176" s="6"/>
      <c r="Z176" s="6"/>
      <c r="AA176" s="6" t="s">
        <v>1253</v>
      </c>
      <c r="AB176" s="8"/>
    </row>
    <row r="177" spans="1:28" s="4" customFormat="1" ht="42" customHeight="1">
      <c r="A177" s="5">
        <v>0</v>
      </c>
      <c r="B177" s="6" t="s">
        <v>1254</v>
      </c>
      <c r="C177" s="13">
        <v>920</v>
      </c>
      <c r="D177" s="8" t="s">
        <v>1255</v>
      </c>
      <c r="E177" s="8" t="s">
        <v>1256</v>
      </c>
      <c r="F177" s="8" t="s">
        <v>1257</v>
      </c>
      <c r="G177" s="6" t="s">
        <v>38</v>
      </c>
      <c r="H177" s="6" t="s">
        <v>359</v>
      </c>
      <c r="I177" s="8" t="s">
        <v>40</v>
      </c>
      <c r="J177" s="9">
        <v>1</v>
      </c>
      <c r="K177" s="9">
        <v>272</v>
      </c>
      <c r="L177" s="9">
        <v>2019</v>
      </c>
      <c r="M177" s="8" t="s">
        <v>1258</v>
      </c>
      <c r="N177" s="8" t="s">
        <v>125</v>
      </c>
      <c r="O177" s="8" t="s">
        <v>352</v>
      </c>
      <c r="P177" s="6" t="s">
        <v>58</v>
      </c>
      <c r="Q177" s="8" t="s">
        <v>45</v>
      </c>
      <c r="R177" s="10" t="s">
        <v>1259</v>
      </c>
      <c r="S177" s="11"/>
      <c r="T177" s="6"/>
      <c r="U177" s="24" t="str">
        <f>HYPERLINK("https://media.infra-m.ru/1029/1029666/cover/1029666.jpg", "Обложка")</f>
        <v>Обложка</v>
      </c>
      <c r="V177" s="24" t="str">
        <f>HYPERLINK("https://znanium.ru/catalog/product/1029666", "Ознакомиться")</f>
        <v>Ознакомиться</v>
      </c>
      <c r="W177" s="8" t="s">
        <v>361</v>
      </c>
      <c r="X177" s="6"/>
      <c r="Y177" s="6"/>
      <c r="Z177" s="6" t="s">
        <v>1260</v>
      </c>
      <c r="AA177" s="6" t="s">
        <v>111</v>
      </c>
      <c r="AB177" s="8"/>
    </row>
    <row r="178" spans="1:28" s="4" customFormat="1" ht="42" customHeight="1">
      <c r="A178" s="5">
        <v>0</v>
      </c>
      <c r="B178" s="6" t="s">
        <v>1261</v>
      </c>
      <c r="C178" s="7">
        <v>1500</v>
      </c>
      <c r="D178" s="8" t="s">
        <v>1262</v>
      </c>
      <c r="E178" s="8" t="s">
        <v>1263</v>
      </c>
      <c r="F178" s="8" t="s">
        <v>1264</v>
      </c>
      <c r="G178" s="6" t="s">
        <v>38</v>
      </c>
      <c r="H178" s="6" t="s">
        <v>54</v>
      </c>
      <c r="I178" s="8" t="s">
        <v>40</v>
      </c>
      <c r="J178" s="9">
        <v>1</v>
      </c>
      <c r="K178" s="9">
        <v>297</v>
      </c>
      <c r="L178" s="9">
        <v>2025</v>
      </c>
      <c r="M178" s="8" t="s">
        <v>1265</v>
      </c>
      <c r="N178" s="8" t="s">
        <v>125</v>
      </c>
      <c r="O178" s="8" t="s">
        <v>432</v>
      </c>
      <c r="P178" s="6" t="s">
        <v>58</v>
      </c>
      <c r="Q178" s="8" t="s">
        <v>45</v>
      </c>
      <c r="R178" s="10" t="s">
        <v>1266</v>
      </c>
      <c r="S178" s="11"/>
      <c r="T178" s="6" t="s">
        <v>118</v>
      </c>
      <c r="U178" s="24" t="str">
        <f>HYPERLINK("https://media.infra-m.ru/1029/1029641/cover/1029641.jpg", "Обложка")</f>
        <v>Обложка</v>
      </c>
      <c r="V178" s="24" t="str">
        <f>HYPERLINK("https://znanium.ru/catalog/product/1029641", "Ознакомиться")</f>
        <v>Ознакомиться</v>
      </c>
      <c r="W178" s="8" t="s">
        <v>909</v>
      </c>
      <c r="X178" s="6" t="s">
        <v>367</v>
      </c>
      <c r="Y178" s="6"/>
      <c r="Z178" s="6" t="s">
        <v>207</v>
      </c>
      <c r="AA178" s="6" t="s">
        <v>84</v>
      </c>
      <c r="AB178" s="8"/>
    </row>
    <row r="179" spans="1:28" s="4" customFormat="1" ht="44.1" customHeight="1">
      <c r="A179" s="5">
        <v>0</v>
      </c>
      <c r="B179" s="6" t="s">
        <v>1267</v>
      </c>
      <c r="C179" s="13">
        <v>850</v>
      </c>
      <c r="D179" s="8" t="s">
        <v>1268</v>
      </c>
      <c r="E179" s="8" t="s">
        <v>1269</v>
      </c>
      <c r="F179" s="8" t="s">
        <v>1270</v>
      </c>
      <c r="G179" s="6" t="s">
        <v>38</v>
      </c>
      <c r="H179" s="6" t="s">
        <v>359</v>
      </c>
      <c r="I179" s="8" t="s">
        <v>40</v>
      </c>
      <c r="J179" s="9">
        <v>1</v>
      </c>
      <c r="K179" s="9">
        <v>256</v>
      </c>
      <c r="L179" s="9">
        <v>2019</v>
      </c>
      <c r="M179" s="8" t="s">
        <v>1271</v>
      </c>
      <c r="N179" s="8" t="s">
        <v>125</v>
      </c>
      <c r="O179" s="8" t="s">
        <v>352</v>
      </c>
      <c r="P179" s="6" t="s">
        <v>44</v>
      </c>
      <c r="Q179" s="8" t="s">
        <v>45</v>
      </c>
      <c r="R179" s="10" t="s">
        <v>1272</v>
      </c>
      <c r="S179" s="11"/>
      <c r="T179" s="6"/>
      <c r="U179" s="24" t="str">
        <f>HYPERLINK("https://media.infra-m.ru/1029/1029667/cover/1029667.jpg", "Обложка")</f>
        <v>Обложка</v>
      </c>
      <c r="V179" s="24" t="str">
        <f>HYPERLINK("https://znanium.ru/catalog/product/1029667", "Ознакомиться")</f>
        <v>Ознакомиться</v>
      </c>
      <c r="W179" s="8" t="s">
        <v>361</v>
      </c>
      <c r="X179" s="6"/>
      <c r="Y179" s="6"/>
      <c r="Z179" s="6" t="s">
        <v>1260</v>
      </c>
      <c r="AA179" s="6" t="s">
        <v>330</v>
      </c>
      <c r="AB179" s="8"/>
    </row>
    <row r="180" spans="1:28" s="4" customFormat="1" ht="44.1" customHeight="1">
      <c r="A180" s="5">
        <v>0</v>
      </c>
      <c r="B180" s="6" t="s">
        <v>1273</v>
      </c>
      <c r="C180" s="13">
        <v>724.9</v>
      </c>
      <c r="D180" s="8" t="s">
        <v>1274</v>
      </c>
      <c r="E180" s="8" t="s">
        <v>1275</v>
      </c>
      <c r="F180" s="8" t="s">
        <v>1276</v>
      </c>
      <c r="G180" s="6" t="s">
        <v>38</v>
      </c>
      <c r="H180" s="6" t="s">
        <v>359</v>
      </c>
      <c r="I180" s="8" t="s">
        <v>40</v>
      </c>
      <c r="J180" s="9">
        <v>1</v>
      </c>
      <c r="K180" s="9">
        <v>160</v>
      </c>
      <c r="L180" s="9">
        <v>2023</v>
      </c>
      <c r="M180" s="8" t="s">
        <v>1277</v>
      </c>
      <c r="N180" s="8" t="s">
        <v>125</v>
      </c>
      <c r="O180" s="8" t="s">
        <v>352</v>
      </c>
      <c r="P180" s="6" t="s">
        <v>44</v>
      </c>
      <c r="Q180" s="8" t="s">
        <v>45</v>
      </c>
      <c r="R180" s="10" t="s">
        <v>1278</v>
      </c>
      <c r="S180" s="11"/>
      <c r="T180" s="6"/>
      <c r="U180" s="24" t="str">
        <f>HYPERLINK("https://media.infra-m.ru/1920/1920324/cover/1920324.jpg", "Обложка")</f>
        <v>Обложка</v>
      </c>
      <c r="V180" s="24" t="str">
        <f>HYPERLINK("https://znanium.ru/catalog/product/1029665", "Ознакомиться")</f>
        <v>Ознакомиться</v>
      </c>
      <c r="W180" s="8" t="s">
        <v>361</v>
      </c>
      <c r="X180" s="6"/>
      <c r="Y180" s="6"/>
      <c r="Z180" s="6" t="s">
        <v>1260</v>
      </c>
      <c r="AA180" s="6" t="s">
        <v>111</v>
      </c>
      <c r="AB180" s="8"/>
    </row>
    <row r="181" spans="1:28" s="4" customFormat="1" ht="51.95" customHeight="1">
      <c r="A181" s="5">
        <v>0</v>
      </c>
      <c r="B181" s="6" t="s">
        <v>1279</v>
      </c>
      <c r="C181" s="13">
        <v>820</v>
      </c>
      <c r="D181" s="8" t="s">
        <v>1280</v>
      </c>
      <c r="E181" s="8" t="s">
        <v>1281</v>
      </c>
      <c r="F181" s="8" t="s">
        <v>1282</v>
      </c>
      <c r="G181" s="6" t="s">
        <v>90</v>
      </c>
      <c r="H181" s="6" t="s">
        <v>54</v>
      </c>
      <c r="I181" s="8" t="s">
        <v>1283</v>
      </c>
      <c r="J181" s="9">
        <v>1</v>
      </c>
      <c r="K181" s="9">
        <v>174</v>
      </c>
      <c r="L181" s="9">
        <v>2024</v>
      </c>
      <c r="M181" s="8" t="s">
        <v>1284</v>
      </c>
      <c r="N181" s="8" t="s">
        <v>42</v>
      </c>
      <c r="O181" s="8" t="s">
        <v>243</v>
      </c>
      <c r="P181" s="6" t="s">
        <v>1285</v>
      </c>
      <c r="Q181" s="8" t="s">
        <v>45</v>
      </c>
      <c r="R181" s="10" t="s">
        <v>1286</v>
      </c>
      <c r="S181" s="11" t="s">
        <v>1287</v>
      </c>
      <c r="T181" s="6"/>
      <c r="U181" s="24" t="str">
        <f>HYPERLINK("https://media.infra-m.ru/2140/2140864/cover/2140864.jpg", "Обложка")</f>
        <v>Обложка</v>
      </c>
      <c r="V181" s="24" t="str">
        <f>HYPERLINK("https://znanium.ru/catalog/product/2140864", "Ознакомиться")</f>
        <v>Ознакомиться</v>
      </c>
      <c r="W181" s="8"/>
      <c r="X181" s="6"/>
      <c r="Y181" s="6"/>
      <c r="Z181" s="6" t="s">
        <v>929</v>
      </c>
      <c r="AA181" s="6" t="s">
        <v>223</v>
      </c>
      <c r="AB181" s="8"/>
    </row>
    <row r="182" spans="1:28" s="4" customFormat="1" ht="51.95" customHeight="1">
      <c r="A182" s="5">
        <v>0</v>
      </c>
      <c r="B182" s="6" t="s">
        <v>1288</v>
      </c>
      <c r="C182" s="7">
        <v>1470</v>
      </c>
      <c r="D182" s="8" t="s">
        <v>1289</v>
      </c>
      <c r="E182" s="8" t="s">
        <v>1290</v>
      </c>
      <c r="F182" s="8" t="s">
        <v>1291</v>
      </c>
      <c r="G182" s="6" t="s">
        <v>90</v>
      </c>
      <c r="H182" s="6" t="s">
        <v>299</v>
      </c>
      <c r="I182" s="8" t="s">
        <v>40</v>
      </c>
      <c r="J182" s="9">
        <v>1</v>
      </c>
      <c r="K182" s="9">
        <v>320</v>
      </c>
      <c r="L182" s="9">
        <v>2023</v>
      </c>
      <c r="M182" s="8" t="s">
        <v>1292</v>
      </c>
      <c r="N182" s="8" t="s">
        <v>42</v>
      </c>
      <c r="O182" s="8" t="s">
        <v>43</v>
      </c>
      <c r="P182" s="6" t="s">
        <v>44</v>
      </c>
      <c r="Q182" s="8" t="s">
        <v>45</v>
      </c>
      <c r="R182" s="10" t="s">
        <v>1293</v>
      </c>
      <c r="S182" s="11" t="s">
        <v>943</v>
      </c>
      <c r="T182" s="6"/>
      <c r="U182" s="24" t="str">
        <f>HYPERLINK("https://media.infra-m.ru/1891/1891187/cover/1891187.jpg", "Обложка")</f>
        <v>Обложка</v>
      </c>
      <c r="V182" s="24" t="str">
        <f>HYPERLINK("https://znanium.ru/catalog/product/2181823", "Ознакомиться")</f>
        <v>Ознакомиться</v>
      </c>
      <c r="W182" s="8" t="s">
        <v>834</v>
      </c>
      <c r="X182" s="6"/>
      <c r="Y182" s="6" t="s">
        <v>30</v>
      </c>
      <c r="Z182" s="6" t="s">
        <v>48</v>
      </c>
      <c r="AA182" s="6" t="s">
        <v>740</v>
      </c>
      <c r="AB182" s="8"/>
    </row>
    <row r="183" spans="1:28" s="4" customFormat="1" ht="42" customHeight="1">
      <c r="A183" s="5">
        <v>0</v>
      </c>
      <c r="B183" s="6" t="s">
        <v>1294</v>
      </c>
      <c r="C183" s="13">
        <v>620</v>
      </c>
      <c r="D183" s="8" t="s">
        <v>1295</v>
      </c>
      <c r="E183" s="8" t="s">
        <v>1296</v>
      </c>
      <c r="F183" s="8" t="s">
        <v>1297</v>
      </c>
      <c r="G183" s="6" t="s">
        <v>67</v>
      </c>
      <c r="H183" s="6" t="s">
        <v>39</v>
      </c>
      <c r="I183" s="8" t="s">
        <v>40</v>
      </c>
      <c r="J183" s="9">
        <v>1</v>
      </c>
      <c r="K183" s="9">
        <v>112</v>
      </c>
      <c r="L183" s="9">
        <v>2025</v>
      </c>
      <c r="M183" s="8" t="s">
        <v>1298</v>
      </c>
      <c r="N183" s="8" t="s">
        <v>535</v>
      </c>
      <c r="O183" s="8" t="s">
        <v>1048</v>
      </c>
      <c r="P183" s="6" t="s">
        <v>44</v>
      </c>
      <c r="Q183" s="8" t="s">
        <v>45</v>
      </c>
      <c r="R183" s="10" t="s">
        <v>1299</v>
      </c>
      <c r="S183" s="11"/>
      <c r="T183" s="6"/>
      <c r="U183" s="24" t="str">
        <f>HYPERLINK("https://media.infra-m.ru/2169/2169371/cover/2169371.jpg", "Обложка")</f>
        <v>Обложка</v>
      </c>
      <c r="V183" s="24" t="str">
        <f>HYPERLINK("https://znanium.ru/catalog/product/2169371", "Ознакомиться")</f>
        <v>Ознакомиться</v>
      </c>
      <c r="W183" s="8" t="s">
        <v>1300</v>
      </c>
      <c r="X183" s="6" t="s">
        <v>367</v>
      </c>
      <c r="Y183" s="6"/>
      <c r="Z183" s="6" t="s">
        <v>48</v>
      </c>
      <c r="AA183" s="6" t="s">
        <v>231</v>
      </c>
      <c r="AB183" s="8"/>
    </row>
    <row r="184" spans="1:28" s="4" customFormat="1" ht="51.95" customHeight="1">
      <c r="A184" s="5">
        <v>0</v>
      </c>
      <c r="B184" s="6" t="s">
        <v>1301</v>
      </c>
      <c r="C184" s="7">
        <v>1170</v>
      </c>
      <c r="D184" s="8" t="s">
        <v>1302</v>
      </c>
      <c r="E184" s="8" t="s">
        <v>1303</v>
      </c>
      <c r="F184" s="8" t="s">
        <v>1304</v>
      </c>
      <c r="G184" s="6" t="s">
        <v>90</v>
      </c>
      <c r="H184" s="6" t="s">
        <v>54</v>
      </c>
      <c r="I184" s="8" t="s">
        <v>40</v>
      </c>
      <c r="J184" s="9">
        <v>1</v>
      </c>
      <c r="K184" s="9">
        <v>228</v>
      </c>
      <c r="L184" s="9">
        <v>2025</v>
      </c>
      <c r="M184" s="8" t="s">
        <v>1305</v>
      </c>
      <c r="N184" s="8" t="s">
        <v>1306</v>
      </c>
      <c r="O184" s="8" t="s">
        <v>1307</v>
      </c>
      <c r="P184" s="6" t="s">
        <v>44</v>
      </c>
      <c r="Q184" s="8" t="s">
        <v>45</v>
      </c>
      <c r="R184" s="10" t="s">
        <v>1308</v>
      </c>
      <c r="S184" s="11" t="s">
        <v>1309</v>
      </c>
      <c r="T184" s="6"/>
      <c r="U184" s="24" t="str">
        <f>HYPERLINK("https://media.infra-m.ru/2184/2184885/cover/2184885.jpg", "Обложка")</f>
        <v>Обложка</v>
      </c>
      <c r="V184" s="24" t="str">
        <f>HYPERLINK("https://znanium.ru/catalog/product/2184885", "Ознакомиться")</f>
        <v>Ознакомиться</v>
      </c>
      <c r="W184" s="8" t="s">
        <v>1310</v>
      </c>
      <c r="X184" s="6"/>
      <c r="Y184" s="6"/>
      <c r="Z184" s="6" t="s">
        <v>48</v>
      </c>
      <c r="AA184" s="6" t="s">
        <v>223</v>
      </c>
      <c r="AB184" s="8"/>
    </row>
    <row r="185" spans="1:28" s="4" customFormat="1" ht="51.95" customHeight="1">
      <c r="A185" s="5">
        <v>0</v>
      </c>
      <c r="B185" s="6" t="s">
        <v>1311</v>
      </c>
      <c r="C185" s="7">
        <v>1460</v>
      </c>
      <c r="D185" s="8" t="s">
        <v>1312</v>
      </c>
      <c r="E185" s="8" t="s">
        <v>1313</v>
      </c>
      <c r="F185" s="8" t="s">
        <v>1314</v>
      </c>
      <c r="G185" s="6" t="s">
        <v>90</v>
      </c>
      <c r="H185" s="6" t="s">
        <v>54</v>
      </c>
      <c r="I185" s="8" t="s">
        <v>40</v>
      </c>
      <c r="J185" s="9">
        <v>1</v>
      </c>
      <c r="K185" s="9">
        <v>317</v>
      </c>
      <c r="L185" s="9">
        <v>2024</v>
      </c>
      <c r="M185" s="8" t="s">
        <v>1315</v>
      </c>
      <c r="N185" s="8" t="s">
        <v>42</v>
      </c>
      <c r="O185" s="8" t="s">
        <v>43</v>
      </c>
      <c r="P185" s="6" t="s">
        <v>44</v>
      </c>
      <c r="Q185" s="8" t="s">
        <v>45</v>
      </c>
      <c r="R185" s="10" t="s">
        <v>72</v>
      </c>
      <c r="S185" s="11" t="s">
        <v>1316</v>
      </c>
      <c r="T185" s="6"/>
      <c r="U185" s="24" t="str">
        <f>HYPERLINK("https://media.infra-m.ru/1912/1912983/cover/1912983.jpg", "Обложка")</f>
        <v>Обложка</v>
      </c>
      <c r="V185" s="24" t="str">
        <f>HYPERLINK("https://znanium.ru/catalog/product/1912983", "Ознакомиться")</f>
        <v>Ознакомиться</v>
      </c>
      <c r="W185" s="8" t="s">
        <v>1317</v>
      </c>
      <c r="X185" s="6"/>
      <c r="Y185" s="6"/>
      <c r="Z185" s="6" t="s">
        <v>48</v>
      </c>
      <c r="AA185" s="6" t="s">
        <v>223</v>
      </c>
      <c r="AB185" s="8"/>
    </row>
    <row r="186" spans="1:28" s="4" customFormat="1" ht="51.95" customHeight="1">
      <c r="A186" s="5">
        <v>0</v>
      </c>
      <c r="B186" s="6" t="s">
        <v>1318</v>
      </c>
      <c r="C186" s="7">
        <v>1860</v>
      </c>
      <c r="D186" s="8" t="s">
        <v>1319</v>
      </c>
      <c r="E186" s="8" t="s">
        <v>1320</v>
      </c>
      <c r="F186" s="8" t="s">
        <v>1314</v>
      </c>
      <c r="G186" s="6" t="s">
        <v>90</v>
      </c>
      <c r="H186" s="6" t="s">
        <v>39</v>
      </c>
      <c r="I186" s="8" t="s">
        <v>40</v>
      </c>
      <c r="J186" s="14">
        <v>0</v>
      </c>
      <c r="K186" s="9">
        <v>447</v>
      </c>
      <c r="L186" s="9">
        <v>2019</v>
      </c>
      <c r="M186" s="8" t="s">
        <v>1321</v>
      </c>
      <c r="N186" s="8" t="s">
        <v>42</v>
      </c>
      <c r="O186" s="8" t="s">
        <v>43</v>
      </c>
      <c r="P186" s="6" t="s">
        <v>44</v>
      </c>
      <c r="Q186" s="8" t="s">
        <v>45</v>
      </c>
      <c r="R186" s="10" t="s">
        <v>1322</v>
      </c>
      <c r="S186" s="11" t="s">
        <v>1323</v>
      </c>
      <c r="T186" s="6"/>
      <c r="U186" s="24" t="str">
        <f>HYPERLINK("https://media.infra-m.ru/1012/1012397/cover/1012397.jpg", "Обложка")</f>
        <v>Обложка</v>
      </c>
      <c r="V186" s="24" t="str">
        <f>HYPERLINK("https://znanium.ru/catalog/product/1012397", "Ознакомиться")</f>
        <v>Ознакомиться</v>
      </c>
      <c r="W186" s="8" t="s">
        <v>1317</v>
      </c>
      <c r="X186" s="6"/>
      <c r="Y186" s="6"/>
      <c r="Z186" s="6" t="s">
        <v>48</v>
      </c>
      <c r="AA186" s="6" t="s">
        <v>129</v>
      </c>
      <c r="AB186" s="8"/>
    </row>
    <row r="187" spans="1:28" s="4" customFormat="1" ht="51.95" customHeight="1">
      <c r="A187" s="5">
        <v>0</v>
      </c>
      <c r="B187" s="6" t="s">
        <v>1324</v>
      </c>
      <c r="C187" s="7">
        <v>1050</v>
      </c>
      <c r="D187" s="8" t="s">
        <v>1325</v>
      </c>
      <c r="E187" s="8" t="s">
        <v>1326</v>
      </c>
      <c r="F187" s="8" t="s">
        <v>1327</v>
      </c>
      <c r="G187" s="6" t="s">
        <v>90</v>
      </c>
      <c r="H187" s="6" t="s">
        <v>299</v>
      </c>
      <c r="I187" s="8" t="s">
        <v>40</v>
      </c>
      <c r="J187" s="9">
        <v>1</v>
      </c>
      <c r="K187" s="9">
        <v>208</v>
      </c>
      <c r="L187" s="9">
        <v>2024</v>
      </c>
      <c r="M187" s="8" t="s">
        <v>1328</v>
      </c>
      <c r="N187" s="8" t="s">
        <v>42</v>
      </c>
      <c r="O187" s="8" t="s">
        <v>43</v>
      </c>
      <c r="P187" s="6" t="s">
        <v>58</v>
      </c>
      <c r="Q187" s="8" t="s">
        <v>45</v>
      </c>
      <c r="R187" s="10" t="s">
        <v>1329</v>
      </c>
      <c r="S187" s="11" t="s">
        <v>1330</v>
      </c>
      <c r="T187" s="6"/>
      <c r="U187" s="24" t="str">
        <f>HYPERLINK("https://media.infra-m.ru/2136/2136878/cover/2136878.jpg", "Обложка")</f>
        <v>Обложка</v>
      </c>
      <c r="V187" s="24" t="str">
        <f>HYPERLINK("https://znanium.ru/catalog/product/2136878", "Ознакомиться")</f>
        <v>Ознакомиться</v>
      </c>
      <c r="W187" s="8"/>
      <c r="X187" s="6"/>
      <c r="Y187" s="6"/>
      <c r="Z187" s="6"/>
      <c r="AA187" s="6" t="s">
        <v>1331</v>
      </c>
      <c r="AB187" s="8"/>
    </row>
    <row r="188" spans="1:28" s="4" customFormat="1" ht="51.95" customHeight="1">
      <c r="A188" s="5">
        <v>0</v>
      </c>
      <c r="B188" s="6" t="s">
        <v>1332</v>
      </c>
      <c r="C188" s="7">
        <v>1190</v>
      </c>
      <c r="D188" s="8" t="s">
        <v>1333</v>
      </c>
      <c r="E188" s="8" t="s">
        <v>1334</v>
      </c>
      <c r="F188" s="8" t="s">
        <v>1335</v>
      </c>
      <c r="G188" s="6" t="s">
        <v>90</v>
      </c>
      <c r="H188" s="6" t="s">
        <v>54</v>
      </c>
      <c r="I188" s="8" t="s">
        <v>40</v>
      </c>
      <c r="J188" s="9">
        <v>1</v>
      </c>
      <c r="K188" s="9">
        <v>263</v>
      </c>
      <c r="L188" s="9">
        <v>2023</v>
      </c>
      <c r="M188" s="8" t="s">
        <v>1336</v>
      </c>
      <c r="N188" s="8" t="s">
        <v>56</v>
      </c>
      <c r="O188" s="8" t="s">
        <v>57</v>
      </c>
      <c r="P188" s="6" t="s">
        <v>44</v>
      </c>
      <c r="Q188" s="8" t="s">
        <v>45</v>
      </c>
      <c r="R188" s="10" t="s">
        <v>1337</v>
      </c>
      <c r="S188" s="11" t="s">
        <v>1338</v>
      </c>
      <c r="T188" s="6"/>
      <c r="U188" s="24" t="str">
        <f>HYPERLINK("https://media.infra-m.ru/1912/1912437/cover/1912437.jpg", "Обложка")</f>
        <v>Обложка</v>
      </c>
      <c r="V188" s="24" t="str">
        <f>HYPERLINK("https://znanium.ru/catalog/product/1912437", "Ознакомиться")</f>
        <v>Ознакомиться</v>
      </c>
      <c r="W188" s="8" t="s">
        <v>1339</v>
      </c>
      <c r="X188" s="6"/>
      <c r="Y188" s="6"/>
      <c r="Z188" s="6" t="s">
        <v>48</v>
      </c>
      <c r="AA188" s="6" t="s">
        <v>443</v>
      </c>
      <c r="AB188" s="8"/>
    </row>
    <row r="189" spans="1:28" s="4" customFormat="1" ht="44.1" customHeight="1">
      <c r="A189" s="5">
        <v>0</v>
      </c>
      <c r="B189" s="6" t="s">
        <v>1340</v>
      </c>
      <c r="C189" s="7">
        <v>1430</v>
      </c>
      <c r="D189" s="8" t="s">
        <v>1341</v>
      </c>
      <c r="E189" s="8" t="s">
        <v>1342</v>
      </c>
      <c r="F189" s="8" t="s">
        <v>1343</v>
      </c>
      <c r="G189" s="6" t="s">
        <v>38</v>
      </c>
      <c r="H189" s="6" t="s">
        <v>54</v>
      </c>
      <c r="I189" s="8" t="s">
        <v>40</v>
      </c>
      <c r="J189" s="9">
        <v>1</v>
      </c>
      <c r="K189" s="9">
        <v>273</v>
      </c>
      <c r="L189" s="9">
        <v>2025</v>
      </c>
      <c r="M189" s="8" t="s">
        <v>1344</v>
      </c>
      <c r="N189" s="8" t="s">
        <v>125</v>
      </c>
      <c r="O189" s="8" t="s">
        <v>432</v>
      </c>
      <c r="P189" s="6" t="s">
        <v>44</v>
      </c>
      <c r="Q189" s="8" t="s">
        <v>45</v>
      </c>
      <c r="R189" s="10" t="s">
        <v>908</v>
      </c>
      <c r="S189" s="11"/>
      <c r="T189" s="6"/>
      <c r="U189" s="24" t="str">
        <f>HYPERLINK("https://media.infra-m.ru/2133/2133657/cover/2133657.jpg", "Обложка")</f>
        <v>Обложка</v>
      </c>
      <c r="V189" s="24" t="str">
        <f>HYPERLINK("https://znanium.ru/catalog/product/2133657", "Ознакомиться")</f>
        <v>Ознакомиться</v>
      </c>
      <c r="W189" s="8" t="s">
        <v>1345</v>
      </c>
      <c r="X189" s="6" t="s">
        <v>1019</v>
      </c>
      <c r="Y189" s="6"/>
      <c r="Z189" s="6"/>
      <c r="AA189" s="6" t="s">
        <v>84</v>
      </c>
      <c r="AB189" s="8" t="s">
        <v>759</v>
      </c>
    </row>
    <row r="190" spans="1:28" s="4" customFormat="1" ht="44.1" customHeight="1">
      <c r="A190" s="5">
        <v>0</v>
      </c>
      <c r="B190" s="6" t="s">
        <v>1346</v>
      </c>
      <c r="C190" s="7">
        <v>1790</v>
      </c>
      <c r="D190" s="8" t="s">
        <v>1347</v>
      </c>
      <c r="E190" s="8" t="s">
        <v>1348</v>
      </c>
      <c r="F190" s="8" t="s">
        <v>1349</v>
      </c>
      <c r="G190" s="6" t="s">
        <v>38</v>
      </c>
      <c r="H190" s="6" t="s">
        <v>54</v>
      </c>
      <c r="I190" s="8" t="s">
        <v>79</v>
      </c>
      <c r="J190" s="9">
        <v>1</v>
      </c>
      <c r="K190" s="9">
        <v>345</v>
      </c>
      <c r="L190" s="9">
        <v>2025</v>
      </c>
      <c r="M190" s="8" t="s">
        <v>1350</v>
      </c>
      <c r="N190" s="8" t="s">
        <v>125</v>
      </c>
      <c r="O190" s="8" t="s">
        <v>432</v>
      </c>
      <c r="P190" s="6" t="s">
        <v>58</v>
      </c>
      <c r="Q190" s="8" t="s">
        <v>45</v>
      </c>
      <c r="R190" s="10" t="s">
        <v>908</v>
      </c>
      <c r="S190" s="11"/>
      <c r="T190" s="6"/>
      <c r="U190" s="24" t="str">
        <f>HYPERLINK("https://media.infra-m.ru/2135/2135820/cover/2135820.jpg", "Обложка")</f>
        <v>Обложка</v>
      </c>
      <c r="V190" s="24" t="str">
        <f>HYPERLINK("https://znanium.ru/catalog/product/2135820", "Ознакомиться")</f>
        <v>Ознакомиться</v>
      </c>
      <c r="W190" s="8" t="s">
        <v>82</v>
      </c>
      <c r="X190" s="6"/>
      <c r="Y190" s="6"/>
      <c r="Z190" s="6"/>
      <c r="AA190" s="6" t="s">
        <v>84</v>
      </c>
      <c r="AB190" s="8"/>
    </row>
    <row r="191" spans="1:28" s="4" customFormat="1" ht="51.95" customHeight="1">
      <c r="A191" s="5">
        <v>0</v>
      </c>
      <c r="B191" s="6" t="s">
        <v>1351</v>
      </c>
      <c r="C191" s="7">
        <v>2350</v>
      </c>
      <c r="D191" s="8" t="s">
        <v>1352</v>
      </c>
      <c r="E191" s="8" t="s">
        <v>1353</v>
      </c>
      <c r="F191" s="8" t="s">
        <v>1354</v>
      </c>
      <c r="G191" s="6" t="s">
        <v>38</v>
      </c>
      <c r="H191" s="6" t="s">
        <v>54</v>
      </c>
      <c r="I191" s="8" t="s">
        <v>40</v>
      </c>
      <c r="J191" s="9">
        <v>1</v>
      </c>
      <c r="K191" s="9">
        <v>451</v>
      </c>
      <c r="L191" s="9">
        <v>2026</v>
      </c>
      <c r="M191" s="8" t="s">
        <v>1355</v>
      </c>
      <c r="N191" s="8" t="s">
        <v>42</v>
      </c>
      <c r="O191" s="8" t="s">
        <v>319</v>
      </c>
      <c r="P191" s="6" t="s">
        <v>58</v>
      </c>
      <c r="Q191" s="8" t="s">
        <v>45</v>
      </c>
      <c r="R191" s="10" t="s">
        <v>1356</v>
      </c>
      <c r="S191" s="11" t="s">
        <v>1357</v>
      </c>
      <c r="T191" s="6" t="s">
        <v>118</v>
      </c>
      <c r="U191" s="24" t="str">
        <f>HYPERLINK("https://media.infra-m.ru/2213/2213686/cover/2213686.jpg", "Обложка")</f>
        <v>Обложка</v>
      </c>
      <c r="V191" s="24" t="str">
        <f>HYPERLINK("https://znanium.ru/catalog/product/2213686", "Ознакомиться")</f>
        <v>Ознакомиться</v>
      </c>
      <c r="W191" s="8" t="s">
        <v>547</v>
      </c>
      <c r="X191" s="6"/>
      <c r="Y191" s="6"/>
      <c r="Z191" s="6" t="s">
        <v>48</v>
      </c>
      <c r="AA191" s="6" t="s">
        <v>74</v>
      </c>
      <c r="AB191" s="8"/>
    </row>
    <row r="192" spans="1:28" s="4" customFormat="1" ht="51.95" customHeight="1">
      <c r="A192" s="5">
        <v>0</v>
      </c>
      <c r="B192" s="6" t="s">
        <v>1358</v>
      </c>
      <c r="C192" s="7">
        <v>1280</v>
      </c>
      <c r="D192" s="8" t="s">
        <v>1359</v>
      </c>
      <c r="E192" s="8" t="s">
        <v>1360</v>
      </c>
      <c r="F192" s="8" t="s">
        <v>1361</v>
      </c>
      <c r="G192" s="6" t="s">
        <v>90</v>
      </c>
      <c r="H192" s="6" t="s">
        <v>54</v>
      </c>
      <c r="I192" s="8" t="s">
        <v>40</v>
      </c>
      <c r="J192" s="9">
        <v>1</v>
      </c>
      <c r="K192" s="9">
        <v>234</v>
      </c>
      <c r="L192" s="9">
        <v>2026</v>
      </c>
      <c r="M192" s="8" t="s">
        <v>1362</v>
      </c>
      <c r="N192" s="8" t="s">
        <v>42</v>
      </c>
      <c r="O192" s="8" t="s">
        <v>319</v>
      </c>
      <c r="P192" s="6" t="s">
        <v>58</v>
      </c>
      <c r="Q192" s="8" t="s">
        <v>45</v>
      </c>
      <c r="R192" s="10" t="s">
        <v>1363</v>
      </c>
      <c r="S192" s="11" t="s">
        <v>1364</v>
      </c>
      <c r="T192" s="6"/>
      <c r="U192" s="24" t="str">
        <f>HYPERLINK("https://media.infra-m.ru/2183/2183854/cover/2183854.jpg", "Обложка")</f>
        <v>Обложка</v>
      </c>
      <c r="V192" s="24" t="str">
        <f>HYPERLINK("https://znanium.ru/catalog/product/2183854", "Ознакомиться")</f>
        <v>Ознакомиться</v>
      </c>
      <c r="W192" s="8" t="s">
        <v>547</v>
      </c>
      <c r="X192" s="6"/>
      <c r="Y192" s="6"/>
      <c r="Z192" s="6" t="s">
        <v>48</v>
      </c>
      <c r="AA192" s="6" t="s">
        <v>129</v>
      </c>
      <c r="AB192" s="8"/>
    </row>
    <row r="193" spans="1:28" s="4" customFormat="1" ht="51.95" customHeight="1">
      <c r="A193" s="5">
        <v>0</v>
      </c>
      <c r="B193" s="6" t="s">
        <v>1365</v>
      </c>
      <c r="C193" s="7">
        <v>1924</v>
      </c>
      <c r="D193" s="8" t="s">
        <v>1366</v>
      </c>
      <c r="E193" s="8" t="s">
        <v>1367</v>
      </c>
      <c r="F193" s="8" t="s">
        <v>1368</v>
      </c>
      <c r="G193" s="6" t="s">
        <v>90</v>
      </c>
      <c r="H193" s="6" t="s">
        <v>54</v>
      </c>
      <c r="I193" s="8" t="s">
        <v>40</v>
      </c>
      <c r="J193" s="9">
        <v>1</v>
      </c>
      <c r="K193" s="9">
        <v>427</v>
      </c>
      <c r="L193" s="9">
        <v>2024</v>
      </c>
      <c r="M193" s="8" t="s">
        <v>1369</v>
      </c>
      <c r="N193" s="8" t="s">
        <v>42</v>
      </c>
      <c r="O193" s="8" t="s">
        <v>1370</v>
      </c>
      <c r="P193" s="6" t="s">
        <v>58</v>
      </c>
      <c r="Q193" s="8" t="s">
        <v>45</v>
      </c>
      <c r="R193" s="10" t="s">
        <v>1371</v>
      </c>
      <c r="S193" s="11" t="s">
        <v>1372</v>
      </c>
      <c r="T193" s="6"/>
      <c r="U193" s="24" t="str">
        <f>HYPERLINK("https://media.infra-m.ru/2049/2049692/cover/2049692.jpg", "Обложка")</f>
        <v>Обложка</v>
      </c>
      <c r="V193" s="24" t="str">
        <f>HYPERLINK("https://znanium.ru/catalog/product/1071740", "Ознакомиться")</f>
        <v>Ознакомиться</v>
      </c>
      <c r="W193" s="8" t="s">
        <v>1373</v>
      </c>
      <c r="X193" s="6"/>
      <c r="Y193" s="6"/>
      <c r="Z193" s="6" t="s">
        <v>48</v>
      </c>
      <c r="AA193" s="6" t="s">
        <v>740</v>
      </c>
      <c r="AB193" s="8"/>
    </row>
    <row r="194" spans="1:28" s="4" customFormat="1" ht="51.95" customHeight="1">
      <c r="A194" s="5">
        <v>0</v>
      </c>
      <c r="B194" s="6" t="s">
        <v>1374</v>
      </c>
      <c r="C194" s="7">
        <v>1010</v>
      </c>
      <c r="D194" s="8" t="s">
        <v>1375</v>
      </c>
      <c r="E194" s="8" t="s">
        <v>1376</v>
      </c>
      <c r="F194" s="8" t="s">
        <v>1377</v>
      </c>
      <c r="G194" s="6" t="s">
        <v>90</v>
      </c>
      <c r="H194" s="6" t="s">
        <v>54</v>
      </c>
      <c r="I194" s="8" t="s">
        <v>1378</v>
      </c>
      <c r="J194" s="9">
        <v>1</v>
      </c>
      <c r="K194" s="9">
        <v>142</v>
      </c>
      <c r="L194" s="9">
        <v>2026</v>
      </c>
      <c r="M194" s="8" t="s">
        <v>1379</v>
      </c>
      <c r="N194" s="8" t="s">
        <v>125</v>
      </c>
      <c r="O194" s="8" t="s">
        <v>1380</v>
      </c>
      <c r="P194" s="6" t="s">
        <v>44</v>
      </c>
      <c r="Q194" s="8" t="s">
        <v>1381</v>
      </c>
      <c r="R194" s="10" t="s">
        <v>1382</v>
      </c>
      <c r="S194" s="11" t="s">
        <v>1383</v>
      </c>
      <c r="T194" s="6"/>
      <c r="U194" s="24" t="str">
        <f>HYPERLINK("https://media.infra-m.ru/2214/2214969/cover/2214969.jpg", "Обложка")</f>
        <v>Обложка</v>
      </c>
      <c r="V194" s="24" t="str">
        <f>HYPERLINK("https://znanium.ru/catalog/product/2214969", "Ознакомиться")</f>
        <v>Ознакомиться</v>
      </c>
      <c r="W194" s="8" t="s">
        <v>1384</v>
      </c>
      <c r="X194" s="6"/>
      <c r="Y194" s="6"/>
      <c r="Z194" s="6"/>
      <c r="AA194" s="6" t="s">
        <v>223</v>
      </c>
      <c r="AB194" s="8"/>
    </row>
    <row r="195" spans="1:28" s="4" customFormat="1" ht="51.95" customHeight="1">
      <c r="A195" s="5">
        <v>0</v>
      </c>
      <c r="B195" s="6" t="s">
        <v>1385</v>
      </c>
      <c r="C195" s="13">
        <v>704</v>
      </c>
      <c r="D195" s="8" t="s">
        <v>1386</v>
      </c>
      <c r="E195" s="8" t="s">
        <v>1387</v>
      </c>
      <c r="F195" s="8" t="s">
        <v>1388</v>
      </c>
      <c r="G195" s="6" t="s">
        <v>67</v>
      </c>
      <c r="H195" s="6" t="s">
        <v>39</v>
      </c>
      <c r="I195" s="8" t="s">
        <v>40</v>
      </c>
      <c r="J195" s="9">
        <v>1</v>
      </c>
      <c r="K195" s="9">
        <v>128</v>
      </c>
      <c r="L195" s="9">
        <v>2026</v>
      </c>
      <c r="M195" s="8" t="s">
        <v>1389</v>
      </c>
      <c r="N195" s="8" t="s">
        <v>125</v>
      </c>
      <c r="O195" s="8" t="s">
        <v>126</v>
      </c>
      <c r="P195" s="6" t="s">
        <v>44</v>
      </c>
      <c r="Q195" s="8" t="s">
        <v>45</v>
      </c>
      <c r="R195" s="10" t="s">
        <v>1390</v>
      </c>
      <c r="S195" s="11" t="s">
        <v>1391</v>
      </c>
      <c r="T195" s="6"/>
      <c r="U195" s="24" t="str">
        <f>HYPERLINK("https://media.infra-m.ru/2217/2217353/cover/2217353.jpg", "Обложка")</f>
        <v>Обложка</v>
      </c>
      <c r="V195" s="24" t="str">
        <f>HYPERLINK("https://znanium.ru/catalog/product/2212410", "Ознакомиться")</f>
        <v>Ознакомиться</v>
      </c>
      <c r="W195" s="8" t="s">
        <v>1392</v>
      </c>
      <c r="X195" s="6"/>
      <c r="Y195" s="6"/>
      <c r="Z195" s="6"/>
      <c r="AA195" s="6" t="s">
        <v>835</v>
      </c>
      <c r="AB195" s="8"/>
    </row>
    <row r="196" spans="1:28" s="4" customFormat="1" ht="42" customHeight="1">
      <c r="A196" s="5">
        <v>0</v>
      </c>
      <c r="B196" s="6" t="s">
        <v>1393</v>
      </c>
      <c r="C196" s="7">
        <v>1250</v>
      </c>
      <c r="D196" s="8" t="s">
        <v>1394</v>
      </c>
      <c r="E196" s="8" t="s">
        <v>1395</v>
      </c>
      <c r="F196" s="8" t="s">
        <v>1396</v>
      </c>
      <c r="G196" s="6" t="s">
        <v>38</v>
      </c>
      <c r="H196" s="6" t="s">
        <v>54</v>
      </c>
      <c r="I196" s="8" t="s">
        <v>40</v>
      </c>
      <c r="J196" s="9">
        <v>1</v>
      </c>
      <c r="K196" s="9">
        <v>228</v>
      </c>
      <c r="L196" s="9">
        <v>2026</v>
      </c>
      <c r="M196" s="8" t="s">
        <v>1397</v>
      </c>
      <c r="N196" s="8" t="s">
        <v>125</v>
      </c>
      <c r="O196" s="8" t="s">
        <v>432</v>
      </c>
      <c r="P196" s="6" t="s">
        <v>44</v>
      </c>
      <c r="Q196" s="8" t="s">
        <v>45</v>
      </c>
      <c r="R196" s="10" t="s">
        <v>1398</v>
      </c>
      <c r="S196" s="11"/>
      <c r="T196" s="6"/>
      <c r="U196" s="24" t="str">
        <f>HYPERLINK("https://media.infra-m.ru/2192/2192605/cover/2192605.jpg", "Обложка")</f>
        <v>Обложка</v>
      </c>
      <c r="V196" s="24" t="str">
        <f>HYPERLINK("https://znanium.ru/catalog/product/2192605", "Ознакомиться")</f>
        <v>Ознакомиться</v>
      </c>
      <c r="W196" s="8" t="s">
        <v>1399</v>
      </c>
      <c r="X196" s="6" t="s">
        <v>1400</v>
      </c>
      <c r="Y196" s="6"/>
      <c r="Z196" s="6"/>
      <c r="AA196" s="6" t="s">
        <v>62</v>
      </c>
      <c r="AB196" s="8"/>
    </row>
    <row r="197" spans="1:28" s="4" customFormat="1" ht="44.1" customHeight="1">
      <c r="A197" s="5">
        <v>0</v>
      </c>
      <c r="B197" s="6" t="s">
        <v>1401</v>
      </c>
      <c r="C197" s="7">
        <v>1090</v>
      </c>
      <c r="D197" s="8" t="s">
        <v>1402</v>
      </c>
      <c r="E197" s="8" t="s">
        <v>1403</v>
      </c>
      <c r="F197" s="8" t="s">
        <v>1396</v>
      </c>
      <c r="G197" s="6" t="s">
        <v>38</v>
      </c>
      <c r="H197" s="6" t="s">
        <v>54</v>
      </c>
      <c r="I197" s="8" t="s">
        <v>40</v>
      </c>
      <c r="J197" s="9">
        <v>1</v>
      </c>
      <c r="K197" s="9">
        <v>188</v>
      </c>
      <c r="L197" s="9">
        <v>2026</v>
      </c>
      <c r="M197" s="8" t="s">
        <v>1404</v>
      </c>
      <c r="N197" s="8" t="s">
        <v>125</v>
      </c>
      <c r="O197" s="8" t="s">
        <v>432</v>
      </c>
      <c r="P197" s="6" t="s">
        <v>44</v>
      </c>
      <c r="Q197" s="8" t="s">
        <v>45</v>
      </c>
      <c r="R197" s="10" t="s">
        <v>1405</v>
      </c>
      <c r="S197" s="11"/>
      <c r="T197" s="6"/>
      <c r="U197" s="24" t="str">
        <f>HYPERLINK("https://media.infra-m.ru/2186/2186381/cover/2186381.jpg", "Обложка")</f>
        <v>Обложка</v>
      </c>
      <c r="V197" s="24" t="str">
        <f>HYPERLINK("https://znanium.ru/catalog/product/2186381", "Ознакомиться")</f>
        <v>Ознакомиться</v>
      </c>
      <c r="W197" s="8" t="s">
        <v>1399</v>
      </c>
      <c r="X197" s="6" t="s">
        <v>721</v>
      </c>
      <c r="Y197" s="6"/>
      <c r="Z197" s="6"/>
      <c r="AA197" s="6" t="s">
        <v>62</v>
      </c>
      <c r="AB197" s="8" t="s">
        <v>85</v>
      </c>
    </row>
    <row r="198" spans="1:28" s="4" customFormat="1" ht="51.95" customHeight="1">
      <c r="A198" s="5">
        <v>0</v>
      </c>
      <c r="B198" s="6" t="s">
        <v>1406</v>
      </c>
      <c r="C198" s="7">
        <v>1624</v>
      </c>
      <c r="D198" s="8" t="s">
        <v>1407</v>
      </c>
      <c r="E198" s="8" t="s">
        <v>1408</v>
      </c>
      <c r="F198" s="8" t="s">
        <v>1409</v>
      </c>
      <c r="G198" s="6" t="s">
        <v>90</v>
      </c>
      <c r="H198" s="6" t="s">
        <v>54</v>
      </c>
      <c r="I198" s="8" t="s">
        <v>40</v>
      </c>
      <c r="J198" s="9">
        <v>1</v>
      </c>
      <c r="K198" s="9">
        <v>311</v>
      </c>
      <c r="L198" s="9">
        <v>2025</v>
      </c>
      <c r="M198" s="8" t="s">
        <v>1410</v>
      </c>
      <c r="N198" s="8" t="s">
        <v>42</v>
      </c>
      <c r="O198" s="8" t="s">
        <v>319</v>
      </c>
      <c r="P198" s="6" t="s">
        <v>58</v>
      </c>
      <c r="Q198" s="8" t="s">
        <v>45</v>
      </c>
      <c r="R198" s="10" t="s">
        <v>1356</v>
      </c>
      <c r="S198" s="11" t="s">
        <v>1357</v>
      </c>
      <c r="T198" s="6" t="s">
        <v>118</v>
      </c>
      <c r="U198" s="24" t="str">
        <f>HYPERLINK("https://media.infra-m.ru/2199/2199347/cover/2199347.jpg", "Обложка")</f>
        <v>Обложка</v>
      </c>
      <c r="V198" s="24" t="str">
        <f>HYPERLINK("https://znanium.ru/catalog/product/2129113", "Ознакомиться")</f>
        <v>Ознакомиться</v>
      </c>
      <c r="W198" s="8" t="s">
        <v>547</v>
      </c>
      <c r="X198" s="6"/>
      <c r="Y198" s="6"/>
      <c r="Z198" s="6" t="s">
        <v>48</v>
      </c>
      <c r="AA198" s="6" t="s">
        <v>563</v>
      </c>
      <c r="AB198" s="8"/>
    </row>
    <row r="199" spans="1:28" s="4" customFormat="1" ht="51.95" customHeight="1">
      <c r="A199" s="5">
        <v>0</v>
      </c>
      <c r="B199" s="6" t="s">
        <v>1411</v>
      </c>
      <c r="C199" s="7">
        <v>2170</v>
      </c>
      <c r="D199" s="8" t="s">
        <v>1412</v>
      </c>
      <c r="E199" s="8" t="s">
        <v>1413</v>
      </c>
      <c r="F199" s="8" t="s">
        <v>1414</v>
      </c>
      <c r="G199" s="6" t="s">
        <v>38</v>
      </c>
      <c r="H199" s="6" t="s">
        <v>54</v>
      </c>
      <c r="I199" s="8" t="s">
        <v>40</v>
      </c>
      <c r="J199" s="9">
        <v>1</v>
      </c>
      <c r="K199" s="9">
        <v>415</v>
      </c>
      <c r="L199" s="9">
        <v>2026</v>
      </c>
      <c r="M199" s="8" t="s">
        <v>1415</v>
      </c>
      <c r="N199" s="8" t="s">
        <v>42</v>
      </c>
      <c r="O199" s="8" t="s">
        <v>187</v>
      </c>
      <c r="P199" s="6" t="s">
        <v>58</v>
      </c>
      <c r="Q199" s="8" t="s">
        <v>45</v>
      </c>
      <c r="R199" s="10" t="s">
        <v>1416</v>
      </c>
      <c r="S199" s="11" t="s">
        <v>1417</v>
      </c>
      <c r="T199" s="6"/>
      <c r="U199" s="24" t="str">
        <f>HYPERLINK("https://media.infra-m.ru/2222/2222191/cover/2222191.jpg", "Обложка")</f>
        <v>Обложка</v>
      </c>
      <c r="V199" s="24" t="str">
        <f>HYPERLINK("https://znanium.ru/catalog/product/2222191", "Ознакомиться")</f>
        <v>Ознакомиться</v>
      </c>
      <c r="W199" s="8" t="s">
        <v>190</v>
      </c>
      <c r="X199" s="6"/>
      <c r="Y199" s="6"/>
      <c r="Z199" s="6"/>
      <c r="AA199" s="6" t="s">
        <v>988</v>
      </c>
      <c r="AB199" s="8"/>
    </row>
    <row r="200" spans="1:28" s="4" customFormat="1" ht="51.95" customHeight="1">
      <c r="A200" s="5">
        <v>0</v>
      </c>
      <c r="B200" s="6" t="s">
        <v>1418</v>
      </c>
      <c r="C200" s="7">
        <v>2440</v>
      </c>
      <c r="D200" s="8" t="s">
        <v>1419</v>
      </c>
      <c r="E200" s="8" t="s">
        <v>1420</v>
      </c>
      <c r="F200" s="8" t="s">
        <v>1421</v>
      </c>
      <c r="G200" s="6" t="s">
        <v>38</v>
      </c>
      <c r="H200" s="6" t="s">
        <v>54</v>
      </c>
      <c r="I200" s="8" t="s">
        <v>40</v>
      </c>
      <c r="J200" s="9">
        <v>1</v>
      </c>
      <c r="K200" s="9">
        <v>443</v>
      </c>
      <c r="L200" s="9">
        <v>2026</v>
      </c>
      <c r="M200" s="8" t="s">
        <v>1422</v>
      </c>
      <c r="N200" s="8" t="s">
        <v>42</v>
      </c>
      <c r="O200" s="8" t="s">
        <v>187</v>
      </c>
      <c r="P200" s="6" t="s">
        <v>58</v>
      </c>
      <c r="Q200" s="8" t="s">
        <v>45</v>
      </c>
      <c r="R200" s="10" t="s">
        <v>1423</v>
      </c>
      <c r="S200" s="11" t="s">
        <v>1424</v>
      </c>
      <c r="T200" s="6"/>
      <c r="U200" s="24" t="str">
        <f>HYPERLINK("https://media.infra-m.ru/2225/2225232/cover/2225232.jpg", "Обложка")</f>
        <v>Обложка</v>
      </c>
      <c r="V200" s="24" t="str">
        <f>HYPERLINK("https://znanium.ru/catalog/product/2225232", "Ознакомиться")</f>
        <v>Ознакомиться</v>
      </c>
      <c r="W200" s="8" t="s">
        <v>190</v>
      </c>
      <c r="X200" s="6"/>
      <c r="Y200" s="6"/>
      <c r="Z200" s="6" t="s">
        <v>48</v>
      </c>
      <c r="AA200" s="6" t="s">
        <v>111</v>
      </c>
      <c r="AB200" s="8"/>
    </row>
    <row r="201" spans="1:28" s="4" customFormat="1" ht="51.95" customHeight="1">
      <c r="A201" s="5">
        <v>0</v>
      </c>
      <c r="B201" s="6" t="s">
        <v>1425</v>
      </c>
      <c r="C201" s="7">
        <v>1560</v>
      </c>
      <c r="D201" s="8" t="s">
        <v>1426</v>
      </c>
      <c r="E201" s="8" t="s">
        <v>1420</v>
      </c>
      <c r="F201" s="8" t="s">
        <v>1427</v>
      </c>
      <c r="G201" s="6" t="s">
        <v>90</v>
      </c>
      <c r="H201" s="6" t="s">
        <v>54</v>
      </c>
      <c r="I201" s="8" t="s">
        <v>40</v>
      </c>
      <c r="J201" s="9">
        <v>1</v>
      </c>
      <c r="K201" s="9">
        <v>287</v>
      </c>
      <c r="L201" s="9">
        <v>2026</v>
      </c>
      <c r="M201" s="8" t="s">
        <v>1428</v>
      </c>
      <c r="N201" s="8" t="s">
        <v>42</v>
      </c>
      <c r="O201" s="8" t="s">
        <v>187</v>
      </c>
      <c r="P201" s="6" t="s">
        <v>58</v>
      </c>
      <c r="Q201" s="8" t="s">
        <v>45</v>
      </c>
      <c r="R201" s="10" t="s">
        <v>1429</v>
      </c>
      <c r="S201" s="11" t="s">
        <v>1430</v>
      </c>
      <c r="T201" s="6"/>
      <c r="U201" s="24" t="str">
        <f>HYPERLINK("https://media.infra-m.ru/2215/2215363/cover/2215363.jpg", "Обложка")</f>
        <v>Обложка</v>
      </c>
      <c r="V201" s="24" t="str">
        <f>HYPERLINK("https://znanium.ru/catalog/product/2215363", "Ознакомиться")</f>
        <v>Ознакомиться</v>
      </c>
      <c r="W201" s="8" t="s">
        <v>293</v>
      </c>
      <c r="X201" s="6"/>
      <c r="Y201" s="6"/>
      <c r="Z201" s="6"/>
      <c r="AA201" s="6" t="s">
        <v>237</v>
      </c>
      <c r="AB201" s="8"/>
    </row>
    <row r="202" spans="1:28" s="4" customFormat="1" ht="51.95" customHeight="1">
      <c r="A202" s="5">
        <v>0</v>
      </c>
      <c r="B202" s="6" t="s">
        <v>1431</v>
      </c>
      <c r="C202" s="7">
        <v>1834</v>
      </c>
      <c r="D202" s="8" t="s">
        <v>1432</v>
      </c>
      <c r="E202" s="8" t="s">
        <v>1433</v>
      </c>
      <c r="F202" s="8" t="s">
        <v>1434</v>
      </c>
      <c r="G202" s="6" t="s">
        <v>38</v>
      </c>
      <c r="H202" s="6" t="s">
        <v>54</v>
      </c>
      <c r="I202" s="8" t="s">
        <v>40</v>
      </c>
      <c r="J202" s="9">
        <v>1</v>
      </c>
      <c r="K202" s="9">
        <v>352</v>
      </c>
      <c r="L202" s="9">
        <v>2025</v>
      </c>
      <c r="M202" s="8" t="s">
        <v>1435</v>
      </c>
      <c r="N202" s="8" t="s">
        <v>42</v>
      </c>
      <c r="O202" s="8" t="s">
        <v>553</v>
      </c>
      <c r="P202" s="6" t="s">
        <v>44</v>
      </c>
      <c r="Q202" s="8" t="s">
        <v>45</v>
      </c>
      <c r="R202" s="10" t="s">
        <v>554</v>
      </c>
      <c r="S202" s="11" t="s">
        <v>1436</v>
      </c>
      <c r="T202" s="6"/>
      <c r="U202" s="24" t="str">
        <f>HYPERLINK("https://media.infra-m.ru/2163/2163282/cover/2163282.jpg", "Обложка")</f>
        <v>Обложка</v>
      </c>
      <c r="V202" s="24" t="str">
        <f>HYPERLINK("https://znanium.ru/catalog/product/2162229", "Ознакомиться")</f>
        <v>Ознакомиться</v>
      </c>
      <c r="W202" s="8" t="s">
        <v>1437</v>
      </c>
      <c r="X202" s="6"/>
      <c r="Y202" s="6"/>
      <c r="Z202" s="6" t="s">
        <v>48</v>
      </c>
      <c r="AA202" s="6" t="s">
        <v>111</v>
      </c>
      <c r="AB202" s="8"/>
    </row>
    <row r="203" spans="1:28" s="4" customFormat="1" ht="51.95" customHeight="1">
      <c r="A203" s="5">
        <v>0</v>
      </c>
      <c r="B203" s="6" t="s">
        <v>1438</v>
      </c>
      <c r="C203" s="7">
        <v>1780</v>
      </c>
      <c r="D203" s="8" t="s">
        <v>1439</v>
      </c>
      <c r="E203" s="8" t="s">
        <v>1440</v>
      </c>
      <c r="F203" s="8" t="s">
        <v>133</v>
      </c>
      <c r="G203" s="6" t="s">
        <v>90</v>
      </c>
      <c r="H203" s="6" t="s">
        <v>54</v>
      </c>
      <c r="I203" s="8" t="s">
        <v>40</v>
      </c>
      <c r="J203" s="9">
        <v>1</v>
      </c>
      <c r="K203" s="9">
        <v>338</v>
      </c>
      <c r="L203" s="9">
        <v>2026</v>
      </c>
      <c r="M203" s="8" t="s">
        <v>1441</v>
      </c>
      <c r="N203" s="8" t="s">
        <v>56</v>
      </c>
      <c r="O203" s="8" t="s">
        <v>343</v>
      </c>
      <c r="P203" s="6" t="s">
        <v>44</v>
      </c>
      <c r="Q203" s="8" t="s">
        <v>45</v>
      </c>
      <c r="R203" s="10" t="s">
        <v>1442</v>
      </c>
      <c r="S203" s="11" t="s">
        <v>1443</v>
      </c>
      <c r="T203" s="6"/>
      <c r="U203" s="24" t="str">
        <f>HYPERLINK("https://media.infra-m.ru/2215/2215333/cover/2215333.jpg", "Обложка")</f>
        <v>Обложка</v>
      </c>
      <c r="V203" s="24" t="str">
        <f>HYPERLINK("https://znanium.ru/catalog/product/2215333", "Ознакомиться")</f>
        <v>Ознакомиться</v>
      </c>
      <c r="W203" s="8" t="s">
        <v>138</v>
      </c>
      <c r="X203" s="6"/>
      <c r="Y203" s="6"/>
      <c r="Z203" s="6" t="s">
        <v>48</v>
      </c>
      <c r="AA203" s="6" t="s">
        <v>111</v>
      </c>
      <c r="AB203" s="8"/>
    </row>
    <row r="204" spans="1:28" s="4" customFormat="1" ht="51.95" customHeight="1">
      <c r="A204" s="5">
        <v>0</v>
      </c>
      <c r="B204" s="6" t="s">
        <v>1444</v>
      </c>
      <c r="C204" s="7">
        <v>1834</v>
      </c>
      <c r="D204" s="8" t="s">
        <v>1445</v>
      </c>
      <c r="E204" s="8" t="s">
        <v>1446</v>
      </c>
      <c r="F204" s="8" t="s">
        <v>1447</v>
      </c>
      <c r="G204" s="6" t="s">
        <v>90</v>
      </c>
      <c r="H204" s="6" t="s">
        <v>54</v>
      </c>
      <c r="I204" s="8" t="s">
        <v>40</v>
      </c>
      <c r="J204" s="9">
        <v>1</v>
      </c>
      <c r="K204" s="9">
        <v>352</v>
      </c>
      <c r="L204" s="9">
        <v>2026</v>
      </c>
      <c r="M204" s="8" t="s">
        <v>1448</v>
      </c>
      <c r="N204" s="8" t="s">
        <v>42</v>
      </c>
      <c r="O204" s="8" t="s">
        <v>553</v>
      </c>
      <c r="P204" s="6" t="s">
        <v>44</v>
      </c>
      <c r="Q204" s="8" t="s">
        <v>45</v>
      </c>
      <c r="R204" s="10" t="s">
        <v>1449</v>
      </c>
      <c r="S204" s="11" t="s">
        <v>1450</v>
      </c>
      <c r="T204" s="6"/>
      <c r="U204" s="24" t="str">
        <f>HYPERLINK("https://media.infra-m.ru/2222/2222992/cover/2222992.jpg", "Обложка")</f>
        <v>Обложка</v>
      </c>
      <c r="V204" s="24" t="str">
        <f>HYPERLINK("https://znanium.ru/catalog/product/2184898", "Ознакомиться")</f>
        <v>Ознакомиться</v>
      </c>
      <c r="W204" s="8" t="s">
        <v>1437</v>
      </c>
      <c r="X204" s="6"/>
      <c r="Y204" s="6"/>
      <c r="Z204" s="6" t="s">
        <v>48</v>
      </c>
      <c r="AA204" s="6" t="s">
        <v>129</v>
      </c>
      <c r="AB204" s="8"/>
    </row>
    <row r="205" spans="1:28" s="4" customFormat="1" ht="51.95" customHeight="1">
      <c r="A205" s="5">
        <v>0</v>
      </c>
      <c r="B205" s="6" t="s">
        <v>1451</v>
      </c>
      <c r="C205" s="7">
        <v>1520</v>
      </c>
      <c r="D205" s="8" t="s">
        <v>1452</v>
      </c>
      <c r="E205" s="8" t="s">
        <v>1453</v>
      </c>
      <c r="F205" s="8" t="s">
        <v>1454</v>
      </c>
      <c r="G205" s="6" t="s">
        <v>90</v>
      </c>
      <c r="H205" s="6" t="s">
        <v>54</v>
      </c>
      <c r="I205" s="8" t="s">
        <v>40</v>
      </c>
      <c r="J205" s="9">
        <v>1</v>
      </c>
      <c r="K205" s="9">
        <v>292</v>
      </c>
      <c r="L205" s="9">
        <v>2025</v>
      </c>
      <c r="M205" s="8" t="s">
        <v>1455</v>
      </c>
      <c r="N205" s="8" t="s">
        <v>1456</v>
      </c>
      <c r="O205" s="8" t="s">
        <v>1457</v>
      </c>
      <c r="P205" s="6" t="s">
        <v>44</v>
      </c>
      <c r="Q205" s="8" t="s">
        <v>45</v>
      </c>
      <c r="R205" s="10" t="s">
        <v>1458</v>
      </c>
      <c r="S205" s="11" t="s">
        <v>1459</v>
      </c>
      <c r="T205" s="6"/>
      <c r="U205" s="24" t="str">
        <f>HYPERLINK("https://media.infra-m.ru/2199/2199353/cover/2199353.jpg", "Обложка")</f>
        <v>Обложка</v>
      </c>
      <c r="V205" s="24" t="str">
        <f>HYPERLINK("https://znanium.ru/catalog/product/2199353", "Ознакомиться")</f>
        <v>Ознакомиться</v>
      </c>
      <c r="W205" s="8" t="s">
        <v>180</v>
      </c>
      <c r="X205" s="6"/>
      <c r="Y205" s="6"/>
      <c r="Z205" s="6" t="s">
        <v>48</v>
      </c>
      <c r="AA205" s="6" t="s">
        <v>111</v>
      </c>
      <c r="AB205" s="8"/>
    </row>
    <row r="206" spans="1:28" s="4" customFormat="1" ht="51.95" customHeight="1">
      <c r="A206" s="5">
        <v>0</v>
      </c>
      <c r="B206" s="6" t="s">
        <v>1460</v>
      </c>
      <c r="C206" s="7">
        <v>1414</v>
      </c>
      <c r="D206" s="8" t="s">
        <v>1461</v>
      </c>
      <c r="E206" s="8" t="s">
        <v>1462</v>
      </c>
      <c r="F206" s="8" t="s">
        <v>1463</v>
      </c>
      <c r="G206" s="6" t="s">
        <v>90</v>
      </c>
      <c r="H206" s="6" t="s">
        <v>39</v>
      </c>
      <c r="I206" s="8" t="s">
        <v>40</v>
      </c>
      <c r="J206" s="9">
        <v>1</v>
      </c>
      <c r="K206" s="9">
        <v>272</v>
      </c>
      <c r="L206" s="9">
        <v>2025</v>
      </c>
      <c r="M206" s="8" t="s">
        <v>1464</v>
      </c>
      <c r="N206" s="8" t="s">
        <v>1306</v>
      </c>
      <c r="O206" s="8" t="s">
        <v>1307</v>
      </c>
      <c r="P206" s="6" t="s">
        <v>1285</v>
      </c>
      <c r="Q206" s="8" t="s">
        <v>45</v>
      </c>
      <c r="R206" s="10" t="s">
        <v>1465</v>
      </c>
      <c r="S206" s="11" t="s">
        <v>1466</v>
      </c>
      <c r="T206" s="6"/>
      <c r="U206" s="24" t="str">
        <f>HYPERLINK("https://media.infra-m.ru/2197/2197245/cover/2197245.jpg", "Обложка")</f>
        <v>Обложка</v>
      </c>
      <c r="V206" s="24" t="str">
        <f>HYPERLINK("https://znanium.ru/catalog/product/2096305", "Ознакомиться")</f>
        <v>Ознакомиться</v>
      </c>
      <c r="W206" s="8" t="s">
        <v>180</v>
      </c>
      <c r="X206" s="6"/>
      <c r="Y206" s="6"/>
      <c r="Z206" s="6" t="s">
        <v>48</v>
      </c>
      <c r="AA206" s="6" t="s">
        <v>111</v>
      </c>
      <c r="AB206" s="8"/>
    </row>
    <row r="207" spans="1:28" s="4" customFormat="1" ht="51.95" customHeight="1">
      <c r="A207" s="5">
        <v>0</v>
      </c>
      <c r="B207" s="6" t="s">
        <v>1467</v>
      </c>
      <c r="C207" s="7">
        <v>1700</v>
      </c>
      <c r="D207" s="8" t="s">
        <v>1468</v>
      </c>
      <c r="E207" s="8" t="s">
        <v>1469</v>
      </c>
      <c r="F207" s="8" t="s">
        <v>1470</v>
      </c>
      <c r="G207" s="6" t="s">
        <v>90</v>
      </c>
      <c r="H207" s="6" t="s">
        <v>54</v>
      </c>
      <c r="I207" s="8" t="s">
        <v>40</v>
      </c>
      <c r="J207" s="9">
        <v>1</v>
      </c>
      <c r="K207" s="9">
        <v>315</v>
      </c>
      <c r="L207" s="9">
        <v>2026</v>
      </c>
      <c r="M207" s="8" t="s">
        <v>1471</v>
      </c>
      <c r="N207" s="8" t="s">
        <v>1306</v>
      </c>
      <c r="O207" s="8" t="s">
        <v>1307</v>
      </c>
      <c r="P207" s="6" t="s">
        <v>44</v>
      </c>
      <c r="Q207" s="8" t="s">
        <v>45</v>
      </c>
      <c r="R207" s="10" t="s">
        <v>1472</v>
      </c>
      <c r="S207" s="11" t="s">
        <v>1473</v>
      </c>
      <c r="T207" s="6"/>
      <c r="U207" s="24" t="str">
        <f>HYPERLINK("https://media.infra-m.ru/2210/2210343/cover/2210343.jpg", "Обложка")</f>
        <v>Обложка</v>
      </c>
      <c r="V207" s="24" t="str">
        <f>HYPERLINK("https://znanium.ru/catalog/product/2210343", "Ознакомиться")</f>
        <v>Ознакомиться</v>
      </c>
      <c r="W207" s="8" t="s">
        <v>1474</v>
      </c>
      <c r="X207" s="6"/>
      <c r="Y207" s="6"/>
      <c r="Z207" s="6"/>
      <c r="AA207" s="6" t="s">
        <v>740</v>
      </c>
      <c r="AB207" s="8"/>
    </row>
    <row r="208" spans="1:28" s="4" customFormat="1" ht="42" customHeight="1">
      <c r="A208" s="5">
        <v>0</v>
      </c>
      <c r="B208" s="6" t="s">
        <v>1475</v>
      </c>
      <c r="C208" s="7">
        <v>1090</v>
      </c>
      <c r="D208" s="8" t="s">
        <v>1476</v>
      </c>
      <c r="E208" s="8" t="s">
        <v>1477</v>
      </c>
      <c r="F208" s="8" t="s">
        <v>1478</v>
      </c>
      <c r="G208" s="6" t="s">
        <v>38</v>
      </c>
      <c r="H208" s="6" t="s">
        <v>54</v>
      </c>
      <c r="I208" s="8" t="s">
        <v>40</v>
      </c>
      <c r="J208" s="9">
        <v>1</v>
      </c>
      <c r="K208" s="9">
        <v>212</v>
      </c>
      <c r="L208" s="9">
        <v>2025</v>
      </c>
      <c r="M208" s="8" t="s">
        <v>1479</v>
      </c>
      <c r="N208" s="8" t="s">
        <v>56</v>
      </c>
      <c r="O208" s="8" t="s">
        <v>57</v>
      </c>
      <c r="P208" s="6" t="s">
        <v>44</v>
      </c>
      <c r="Q208" s="8" t="s">
        <v>45</v>
      </c>
      <c r="R208" s="10" t="s">
        <v>1480</v>
      </c>
      <c r="S208" s="11"/>
      <c r="T208" s="6"/>
      <c r="U208" s="24" t="str">
        <f>HYPERLINK("https://media.infra-m.ru/2172/2172160/cover/2172160.jpg", "Обложка")</f>
        <v>Обложка</v>
      </c>
      <c r="V208" s="24" t="str">
        <f>HYPERLINK("https://znanium.ru/catalog/product/2172160", "Ознакомиться")</f>
        <v>Ознакомиться</v>
      </c>
      <c r="W208" s="8" t="s">
        <v>180</v>
      </c>
      <c r="X208" s="6" t="s">
        <v>367</v>
      </c>
      <c r="Y208" s="6"/>
      <c r="Z208" s="6" t="s">
        <v>48</v>
      </c>
      <c r="AA208" s="6" t="s">
        <v>84</v>
      </c>
      <c r="AB208" s="8"/>
    </row>
    <row r="209" spans="1:28" s="4" customFormat="1" ht="51.95" customHeight="1">
      <c r="A209" s="5">
        <v>0</v>
      </c>
      <c r="B209" s="6" t="s">
        <v>1481</v>
      </c>
      <c r="C209" s="7">
        <v>1310</v>
      </c>
      <c r="D209" s="8" t="s">
        <v>1482</v>
      </c>
      <c r="E209" s="8" t="s">
        <v>1483</v>
      </c>
      <c r="F209" s="8" t="s">
        <v>1484</v>
      </c>
      <c r="G209" s="6" t="s">
        <v>90</v>
      </c>
      <c r="H209" s="6" t="s">
        <v>54</v>
      </c>
      <c r="I209" s="8" t="s">
        <v>40</v>
      </c>
      <c r="J209" s="9">
        <v>1</v>
      </c>
      <c r="K209" s="9">
        <v>252</v>
      </c>
      <c r="L209" s="9">
        <v>2026</v>
      </c>
      <c r="M209" s="8" t="s">
        <v>1485</v>
      </c>
      <c r="N209" s="8" t="s">
        <v>535</v>
      </c>
      <c r="O209" s="8" t="s">
        <v>856</v>
      </c>
      <c r="P209" s="6" t="s">
        <v>1486</v>
      </c>
      <c r="Q209" s="8" t="s">
        <v>45</v>
      </c>
      <c r="R209" s="10" t="s">
        <v>1487</v>
      </c>
      <c r="S209" s="11" t="s">
        <v>1488</v>
      </c>
      <c r="T209" s="6" t="s">
        <v>118</v>
      </c>
      <c r="U209" s="24" t="str">
        <f>HYPERLINK("https://media.infra-m.ru/2166/2166533/cover/2166533.jpg", "Обложка")</f>
        <v>Обложка</v>
      </c>
      <c r="V209" s="24" t="str">
        <f>HYPERLINK("https://znanium.ru/catalog/product/2166533", "Ознакомиться")</f>
        <v>Ознакомиться</v>
      </c>
      <c r="W209" s="8" t="s">
        <v>1489</v>
      </c>
      <c r="X209" s="6"/>
      <c r="Y209" s="6"/>
      <c r="Z209" s="6" t="s">
        <v>48</v>
      </c>
      <c r="AA209" s="6" t="s">
        <v>223</v>
      </c>
      <c r="AB209" s="8"/>
    </row>
    <row r="210" spans="1:28" s="4" customFormat="1" ht="51.95" customHeight="1">
      <c r="A210" s="5">
        <v>0</v>
      </c>
      <c r="B210" s="6" t="s">
        <v>1490</v>
      </c>
      <c r="C210" s="7">
        <v>1124</v>
      </c>
      <c r="D210" s="8" t="s">
        <v>1491</v>
      </c>
      <c r="E210" s="8" t="s">
        <v>1492</v>
      </c>
      <c r="F210" s="8" t="s">
        <v>1493</v>
      </c>
      <c r="G210" s="6" t="s">
        <v>90</v>
      </c>
      <c r="H210" s="6" t="s">
        <v>39</v>
      </c>
      <c r="I210" s="8" t="s">
        <v>40</v>
      </c>
      <c r="J210" s="9">
        <v>1</v>
      </c>
      <c r="K210" s="9">
        <v>238</v>
      </c>
      <c r="L210" s="9">
        <v>2024</v>
      </c>
      <c r="M210" s="8" t="s">
        <v>1494</v>
      </c>
      <c r="N210" s="8" t="s">
        <v>42</v>
      </c>
      <c r="O210" s="8" t="s">
        <v>169</v>
      </c>
      <c r="P210" s="6" t="s">
        <v>1495</v>
      </c>
      <c r="Q210" s="8" t="s">
        <v>45</v>
      </c>
      <c r="R210" s="10" t="s">
        <v>1496</v>
      </c>
      <c r="S210" s="11"/>
      <c r="T210" s="6"/>
      <c r="U210" s="24" t="str">
        <f>HYPERLINK("https://media.infra-m.ru/2145/2145762/cover/2145762.jpg", "Обложка")</f>
        <v>Обложка</v>
      </c>
      <c r="V210" s="24" t="str">
        <f>HYPERLINK("https://znanium.ru/catalog/product/1940919", "Ознакомиться")</f>
        <v>Ознакомиться</v>
      </c>
      <c r="W210" s="8" t="s">
        <v>180</v>
      </c>
      <c r="X210" s="6"/>
      <c r="Y210" s="6"/>
      <c r="Z210" s="6"/>
      <c r="AA210" s="6" t="s">
        <v>387</v>
      </c>
      <c r="AB210" s="8"/>
    </row>
    <row r="211" spans="1:28" s="4" customFormat="1" ht="51.95" customHeight="1">
      <c r="A211" s="5">
        <v>0</v>
      </c>
      <c r="B211" s="6" t="s">
        <v>1497</v>
      </c>
      <c r="C211" s="13">
        <v>980</v>
      </c>
      <c r="D211" s="8" t="s">
        <v>1498</v>
      </c>
      <c r="E211" s="8" t="s">
        <v>1499</v>
      </c>
      <c r="F211" s="8" t="s">
        <v>1500</v>
      </c>
      <c r="G211" s="6" t="s">
        <v>90</v>
      </c>
      <c r="H211" s="6" t="s">
        <v>54</v>
      </c>
      <c r="I211" s="8" t="s">
        <v>40</v>
      </c>
      <c r="J211" s="9">
        <v>1</v>
      </c>
      <c r="K211" s="9">
        <v>183</v>
      </c>
      <c r="L211" s="9">
        <v>2025</v>
      </c>
      <c r="M211" s="8" t="s">
        <v>1501</v>
      </c>
      <c r="N211" s="8" t="s">
        <v>42</v>
      </c>
      <c r="O211" s="8" t="s">
        <v>319</v>
      </c>
      <c r="P211" s="6" t="s">
        <v>44</v>
      </c>
      <c r="Q211" s="8" t="s">
        <v>45</v>
      </c>
      <c r="R211" s="10" t="s">
        <v>1502</v>
      </c>
      <c r="S211" s="11"/>
      <c r="T211" s="6"/>
      <c r="U211" s="24" t="str">
        <f>HYPERLINK("https://media.infra-m.ru/2166/2166233/cover/2166233.jpg", "Обложка")</f>
        <v>Обложка</v>
      </c>
      <c r="V211" s="24" t="str">
        <f>HYPERLINK("https://znanium.ru/catalog/product/2166233", "Ознакомиться")</f>
        <v>Ознакомиться</v>
      </c>
      <c r="W211" s="8" t="s">
        <v>1503</v>
      </c>
      <c r="X211" s="6"/>
      <c r="Y211" s="6"/>
      <c r="Z211" s="6"/>
      <c r="AA211" s="6" t="s">
        <v>354</v>
      </c>
      <c r="AB211" s="8"/>
    </row>
    <row r="212" spans="1:28" s="4" customFormat="1" ht="51.95" customHeight="1">
      <c r="A212" s="5">
        <v>0</v>
      </c>
      <c r="B212" s="6" t="s">
        <v>1504</v>
      </c>
      <c r="C212" s="7">
        <v>1090</v>
      </c>
      <c r="D212" s="8" t="s">
        <v>1505</v>
      </c>
      <c r="E212" s="8" t="s">
        <v>1506</v>
      </c>
      <c r="F212" s="8" t="s">
        <v>1507</v>
      </c>
      <c r="G212" s="6" t="s">
        <v>90</v>
      </c>
      <c r="H212" s="6" t="s">
        <v>54</v>
      </c>
      <c r="I212" s="8" t="s">
        <v>40</v>
      </c>
      <c r="J212" s="9">
        <v>1</v>
      </c>
      <c r="K212" s="9">
        <v>236</v>
      </c>
      <c r="L212" s="9">
        <v>2024</v>
      </c>
      <c r="M212" s="8" t="s">
        <v>1508</v>
      </c>
      <c r="N212" s="8" t="s">
        <v>1306</v>
      </c>
      <c r="O212" s="8" t="s">
        <v>1307</v>
      </c>
      <c r="P212" s="6" t="s">
        <v>1285</v>
      </c>
      <c r="Q212" s="8" t="s">
        <v>45</v>
      </c>
      <c r="R212" s="10" t="s">
        <v>1509</v>
      </c>
      <c r="S212" s="11" t="s">
        <v>1510</v>
      </c>
      <c r="T212" s="6"/>
      <c r="U212" s="24" t="str">
        <f>HYPERLINK("https://media.infra-m.ru/2086/2086784/cover/2086784.jpg", "Обложка")</f>
        <v>Обложка</v>
      </c>
      <c r="V212" s="24" t="str">
        <f>HYPERLINK("https://znanium.ru/catalog/product/2086784", "Ознакомиться")</f>
        <v>Ознакомиться</v>
      </c>
      <c r="W212" s="8" t="s">
        <v>180</v>
      </c>
      <c r="X212" s="6"/>
      <c r="Y212" s="6"/>
      <c r="Z212" s="6"/>
      <c r="AA212" s="6" t="s">
        <v>111</v>
      </c>
      <c r="AB212" s="8"/>
    </row>
    <row r="213" spans="1:28" s="4" customFormat="1" ht="51.95" customHeight="1">
      <c r="A213" s="5">
        <v>0</v>
      </c>
      <c r="B213" s="6" t="s">
        <v>1511</v>
      </c>
      <c r="C213" s="7">
        <v>2444</v>
      </c>
      <c r="D213" s="8" t="s">
        <v>1512</v>
      </c>
      <c r="E213" s="8" t="s">
        <v>1513</v>
      </c>
      <c r="F213" s="8" t="s">
        <v>1514</v>
      </c>
      <c r="G213" s="6" t="s">
        <v>90</v>
      </c>
      <c r="H213" s="6" t="s">
        <v>39</v>
      </c>
      <c r="I213" s="8" t="s">
        <v>69</v>
      </c>
      <c r="J213" s="9">
        <v>1</v>
      </c>
      <c r="K213" s="9">
        <v>445</v>
      </c>
      <c r="L213" s="9">
        <v>2026</v>
      </c>
      <c r="M213" s="8" t="s">
        <v>1515</v>
      </c>
      <c r="N213" s="8" t="s">
        <v>42</v>
      </c>
      <c r="O213" s="8" t="s">
        <v>43</v>
      </c>
      <c r="P213" s="6" t="s">
        <v>44</v>
      </c>
      <c r="Q213" s="8" t="s">
        <v>45</v>
      </c>
      <c r="R213" s="10" t="s">
        <v>1516</v>
      </c>
      <c r="S213" s="11" t="s">
        <v>1517</v>
      </c>
      <c r="T213" s="6"/>
      <c r="U213" s="24" t="str">
        <f>HYPERLINK("https://media.infra-m.ru/2226/2226468/cover/2226468.jpg", "Обложка")</f>
        <v>Обложка</v>
      </c>
      <c r="V213" s="24" t="str">
        <f>HYPERLINK("https://znanium.ru/catalog/product/1703191", "Ознакомиться")</f>
        <v>Ознакомиться</v>
      </c>
      <c r="W213" s="8" t="s">
        <v>94</v>
      </c>
      <c r="X213" s="6"/>
      <c r="Y213" s="6" t="s">
        <v>30</v>
      </c>
      <c r="Z213" s="6"/>
      <c r="AA213" s="6" t="s">
        <v>1518</v>
      </c>
      <c r="AB213" s="8"/>
    </row>
    <row r="214" spans="1:28" s="4" customFormat="1" ht="51.95" customHeight="1">
      <c r="A214" s="5">
        <v>0</v>
      </c>
      <c r="B214" s="6" t="s">
        <v>1519</v>
      </c>
      <c r="C214" s="7">
        <v>1410</v>
      </c>
      <c r="D214" s="8" t="s">
        <v>1520</v>
      </c>
      <c r="E214" s="8" t="s">
        <v>1521</v>
      </c>
      <c r="F214" s="8" t="s">
        <v>1522</v>
      </c>
      <c r="G214" s="6" t="s">
        <v>90</v>
      </c>
      <c r="H214" s="6" t="s">
        <v>54</v>
      </c>
      <c r="I214" s="8" t="s">
        <v>40</v>
      </c>
      <c r="J214" s="9">
        <v>1</v>
      </c>
      <c r="K214" s="9">
        <v>392</v>
      </c>
      <c r="L214" s="9">
        <v>2021</v>
      </c>
      <c r="M214" s="8" t="s">
        <v>1523</v>
      </c>
      <c r="N214" s="8" t="s">
        <v>42</v>
      </c>
      <c r="O214" s="8" t="s">
        <v>187</v>
      </c>
      <c r="P214" s="6" t="s">
        <v>58</v>
      </c>
      <c r="Q214" s="8" t="s">
        <v>45</v>
      </c>
      <c r="R214" s="10" t="s">
        <v>1524</v>
      </c>
      <c r="S214" s="11" t="s">
        <v>1525</v>
      </c>
      <c r="T214" s="6"/>
      <c r="U214" s="24" t="str">
        <f>HYPERLINK("https://media.infra-m.ru/1232/1232422/cover/1232422.jpg", "Обложка")</f>
        <v>Обложка</v>
      </c>
      <c r="V214" s="24" t="str">
        <f>HYPERLINK("https://znanium.ru/catalog/product/2214601", "Ознакомиться")</f>
        <v>Ознакомиться</v>
      </c>
      <c r="W214" s="8" t="s">
        <v>190</v>
      </c>
      <c r="X214" s="6"/>
      <c r="Y214" s="6" t="s">
        <v>30</v>
      </c>
      <c r="Z214" s="6"/>
      <c r="AA214" s="6" t="s">
        <v>1526</v>
      </c>
      <c r="AB214" s="8"/>
    </row>
    <row r="215" spans="1:28" s="4" customFormat="1" ht="51.95" customHeight="1">
      <c r="A215" s="5">
        <v>0</v>
      </c>
      <c r="B215" s="6" t="s">
        <v>1527</v>
      </c>
      <c r="C215" s="7">
        <v>2044</v>
      </c>
      <c r="D215" s="8" t="s">
        <v>1528</v>
      </c>
      <c r="E215" s="8" t="s">
        <v>1529</v>
      </c>
      <c r="F215" s="8" t="s">
        <v>1530</v>
      </c>
      <c r="G215" s="6" t="s">
        <v>90</v>
      </c>
      <c r="H215" s="6" t="s">
        <v>54</v>
      </c>
      <c r="I215" s="8" t="s">
        <v>40</v>
      </c>
      <c r="J215" s="9">
        <v>1</v>
      </c>
      <c r="K215" s="9">
        <v>392</v>
      </c>
      <c r="L215" s="9">
        <v>2026</v>
      </c>
      <c r="M215" s="8" t="s">
        <v>1531</v>
      </c>
      <c r="N215" s="8" t="s">
        <v>42</v>
      </c>
      <c r="O215" s="8" t="s">
        <v>187</v>
      </c>
      <c r="P215" s="6" t="s">
        <v>58</v>
      </c>
      <c r="Q215" s="8" t="s">
        <v>45</v>
      </c>
      <c r="R215" s="10" t="s">
        <v>1524</v>
      </c>
      <c r="S215" s="11" t="s">
        <v>1532</v>
      </c>
      <c r="T215" s="6"/>
      <c r="U215" s="24" t="str">
        <f>HYPERLINK("https://media.infra-m.ru/2216/2216927/cover/2216927.jpg", "Обложка")</f>
        <v>Обложка</v>
      </c>
      <c r="V215" s="24" t="str">
        <f>HYPERLINK("https://znanium.ru/catalog/product/2214601", "Ознакомиться")</f>
        <v>Ознакомиться</v>
      </c>
      <c r="W215" s="8" t="s">
        <v>190</v>
      </c>
      <c r="X215" s="6"/>
      <c r="Y215" s="6" t="s">
        <v>30</v>
      </c>
      <c r="Z215" s="6"/>
      <c r="AA215" s="6" t="s">
        <v>563</v>
      </c>
      <c r="AB215" s="8"/>
    </row>
    <row r="216" spans="1:28" s="4" customFormat="1" ht="51.95" customHeight="1">
      <c r="A216" s="5">
        <v>0</v>
      </c>
      <c r="B216" s="6" t="s">
        <v>1533</v>
      </c>
      <c r="C216" s="7">
        <v>1150</v>
      </c>
      <c r="D216" s="8" t="s">
        <v>1534</v>
      </c>
      <c r="E216" s="8" t="s">
        <v>1535</v>
      </c>
      <c r="F216" s="8" t="s">
        <v>1536</v>
      </c>
      <c r="G216" s="6" t="s">
        <v>90</v>
      </c>
      <c r="H216" s="6" t="s">
        <v>54</v>
      </c>
      <c r="I216" s="8" t="s">
        <v>40</v>
      </c>
      <c r="J216" s="9">
        <v>1</v>
      </c>
      <c r="K216" s="9">
        <v>256</v>
      </c>
      <c r="L216" s="9">
        <v>2023</v>
      </c>
      <c r="M216" s="8" t="s">
        <v>1537</v>
      </c>
      <c r="N216" s="8" t="s">
        <v>125</v>
      </c>
      <c r="O216" s="8" t="s">
        <v>126</v>
      </c>
      <c r="P216" s="6" t="s">
        <v>58</v>
      </c>
      <c r="Q216" s="8" t="s">
        <v>45</v>
      </c>
      <c r="R216" s="10" t="s">
        <v>1005</v>
      </c>
      <c r="S216" s="11" t="s">
        <v>1538</v>
      </c>
      <c r="T216" s="6"/>
      <c r="U216" s="24" t="str">
        <f>HYPERLINK("https://media.infra-m.ru/1896/1896606/cover/1896606.jpg", "Обложка")</f>
        <v>Обложка</v>
      </c>
      <c r="V216" s="24" t="str">
        <f>HYPERLINK("https://znanium.ru/catalog/product/1896606", "Ознакомиться")</f>
        <v>Ознакомиться</v>
      </c>
      <c r="W216" s="8" t="s">
        <v>1539</v>
      </c>
      <c r="X216" s="6"/>
      <c r="Y216" s="6"/>
      <c r="Z216" s="6" t="s">
        <v>48</v>
      </c>
      <c r="AA216" s="6" t="s">
        <v>129</v>
      </c>
      <c r="AB216" s="8"/>
    </row>
    <row r="217" spans="1:28" s="4" customFormat="1" ht="51.95" customHeight="1">
      <c r="A217" s="5">
        <v>0</v>
      </c>
      <c r="B217" s="6" t="s">
        <v>1540</v>
      </c>
      <c r="C217" s="7">
        <v>1774</v>
      </c>
      <c r="D217" s="8" t="s">
        <v>1541</v>
      </c>
      <c r="E217" s="8" t="s">
        <v>1542</v>
      </c>
      <c r="F217" s="8" t="s">
        <v>1543</v>
      </c>
      <c r="G217" s="6" t="s">
        <v>90</v>
      </c>
      <c r="H217" s="6" t="s">
        <v>54</v>
      </c>
      <c r="I217" s="8" t="s">
        <v>40</v>
      </c>
      <c r="J217" s="9">
        <v>1</v>
      </c>
      <c r="K217" s="9">
        <v>355</v>
      </c>
      <c r="L217" s="9">
        <v>2025</v>
      </c>
      <c r="M217" s="8" t="s">
        <v>1544</v>
      </c>
      <c r="N217" s="8" t="s">
        <v>125</v>
      </c>
      <c r="O217" s="8" t="s">
        <v>126</v>
      </c>
      <c r="P217" s="6" t="s">
        <v>44</v>
      </c>
      <c r="Q217" s="8" t="s">
        <v>45</v>
      </c>
      <c r="R217" s="10" t="s">
        <v>1005</v>
      </c>
      <c r="S217" s="11" t="s">
        <v>1545</v>
      </c>
      <c r="T217" s="6"/>
      <c r="U217" s="24" t="str">
        <f>HYPERLINK("https://media.infra-m.ru/2186/2186898/cover/2186898.jpg", "Обложка")</f>
        <v>Обложка</v>
      </c>
      <c r="V217" s="24" t="str">
        <f>HYPERLINK("https://znanium.ru/catalog/product/2023170", "Ознакомиться")</f>
        <v>Ознакомиться</v>
      </c>
      <c r="W217" s="8" t="s">
        <v>1546</v>
      </c>
      <c r="X217" s="6"/>
      <c r="Y217" s="6"/>
      <c r="Z217" s="6"/>
      <c r="AA217" s="6" t="s">
        <v>1547</v>
      </c>
      <c r="AB217" s="8" t="s">
        <v>860</v>
      </c>
    </row>
    <row r="218" spans="1:28" s="4" customFormat="1" ht="42" customHeight="1">
      <c r="A218" s="5">
        <v>0</v>
      </c>
      <c r="B218" s="6" t="s">
        <v>1548</v>
      </c>
      <c r="C218" s="7">
        <v>1550</v>
      </c>
      <c r="D218" s="8" t="s">
        <v>1549</v>
      </c>
      <c r="E218" s="8" t="s">
        <v>1535</v>
      </c>
      <c r="F218" s="8" t="s">
        <v>1550</v>
      </c>
      <c r="G218" s="6" t="s">
        <v>38</v>
      </c>
      <c r="H218" s="6" t="s">
        <v>54</v>
      </c>
      <c r="I218" s="8" t="s">
        <v>40</v>
      </c>
      <c r="J218" s="9">
        <v>1</v>
      </c>
      <c r="K218" s="9">
        <v>282</v>
      </c>
      <c r="L218" s="9">
        <v>2025</v>
      </c>
      <c r="M218" s="8" t="s">
        <v>1551</v>
      </c>
      <c r="N218" s="8" t="s">
        <v>125</v>
      </c>
      <c r="O218" s="8" t="s">
        <v>126</v>
      </c>
      <c r="P218" s="6" t="s">
        <v>44</v>
      </c>
      <c r="Q218" s="8" t="s">
        <v>45</v>
      </c>
      <c r="R218" s="10" t="s">
        <v>1005</v>
      </c>
      <c r="S218" s="11"/>
      <c r="T218" s="6"/>
      <c r="U218" s="24" t="str">
        <f>HYPERLINK("https://media.infra-m.ru/2132/2132111/cover/2132111.jpg", "Обложка")</f>
        <v>Обложка</v>
      </c>
      <c r="V218" s="24" t="str">
        <f>HYPERLINK("https://znanium.ru/catalog/product/2132111", "Ознакомиться")</f>
        <v>Ознакомиться</v>
      </c>
      <c r="W218" s="8" t="s">
        <v>1552</v>
      </c>
      <c r="X218" s="6" t="s">
        <v>1019</v>
      </c>
      <c r="Y218" s="6"/>
      <c r="Z218" s="6"/>
      <c r="AA218" s="6" t="s">
        <v>84</v>
      </c>
      <c r="AB218" s="8" t="s">
        <v>232</v>
      </c>
    </row>
    <row r="219" spans="1:28" s="4" customFormat="1" ht="51.95" customHeight="1">
      <c r="A219" s="5">
        <v>0</v>
      </c>
      <c r="B219" s="6" t="s">
        <v>1553</v>
      </c>
      <c r="C219" s="7">
        <v>1664</v>
      </c>
      <c r="D219" s="8" t="s">
        <v>1554</v>
      </c>
      <c r="E219" s="8" t="s">
        <v>1555</v>
      </c>
      <c r="F219" s="8" t="s">
        <v>1556</v>
      </c>
      <c r="G219" s="6" t="s">
        <v>90</v>
      </c>
      <c r="H219" s="6" t="s">
        <v>54</v>
      </c>
      <c r="I219" s="8" t="s">
        <v>40</v>
      </c>
      <c r="J219" s="9">
        <v>1</v>
      </c>
      <c r="K219" s="9">
        <v>313</v>
      </c>
      <c r="L219" s="9">
        <v>2026</v>
      </c>
      <c r="M219" s="8" t="s">
        <v>1557</v>
      </c>
      <c r="N219" s="8" t="s">
        <v>535</v>
      </c>
      <c r="O219" s="8" t="s">
        <v>1048</v>
      </c>
      <c r="P219" s="6" t="s">
        <v>58</v>
      </c>
      <c r="Q219" s="8" t="s">
        <v>45</v>
      </c>
      <c r="R219" s="10" t="s">
        <v>1558</v>
      </c>
      <c r="S219" s="11" t="s">
        <v>1559</v>
      </c>
      <c r="T219" s="6"/>
      <c r="U219" s="24" t="str">
        <f>HYPERLINK("https://media.infra-m.ru/2221/2221910/cover/2221910.jpg", "Обложка")</f>
        <v>Обложка</v>
      </c>
      <c r="V219" s="24" t="str">
        <f>HYPERLINK("https://znanium.ru/catalog/product/2199665", "Ознакомиться")</f>
        <v>Ознакомиться</v>
      </c>
      <c r="W219" s="8" t="s">
        <v>1560</v>
      </c>
      <c r="X219" s="6"/>
      <c r="Y219" s="6"/>
      <c r="Z219" s="6"/>
      <c r="AA219" s="6" t="s">
        <v>129</v>
      </c>
      <c r="AB219" s="8"/>
    </row>
    <row r="220" spans="1:28" s="4" customFormat="1" ht="51.95" customHeight="1">
      <c r="A220" s="5">
        <v>0</v>
      </c>
      <c r="B220" s="6" t="s">
        <v>1561</v>
      </c>
      <c r="C220" s="7">
        <v>1850</v>
      </c>
      <c r="D220" s="8" t="s">
        <v>1562</v>
      </c>
      <c r="E220" s="8" t="s">
        <v>1563</v>
      </c>
      <c r="F220" s="8" t="s">
        <v>1564</v>
      </c>
      <c r="G220" s="6" t="s">
        <v>90</v>
      </c>
      <c r="H220" s="6" t="s">
        <v>54</v>
      </c>
      <c r="I220" s="8" t="s">
        <v>40</v>
      </c>
      <c r="J220" s="9">
        <v>1</v>
      </c>
      <c r="K220" s="9">
        <v>344</v>
      </c>
      <c r="L220" s="9">
        <v>2026</v>
      </c>
      <c r="M220" s="8" t="s">
        <v>1565</v>
      </c>
      <c r="N220" s="8" t="s">
        <v>42</v>
      </c>
      <c r="O220" s="8" t="s">
        <v>187</v>
      </c>
      <c r="P220" s="6" t="s">
        <v>58</v>
      </c>
      <c r="Q220" s="8" t="s">
        <v>45</v>
      </c>
      <c r="R220" s="10" t="s">
        <v>1566</v>
      </c>
      <c r="S220" s="11" t="s">
        <v>1567</v>
      </c>
      <c r="T220" s="6"/>
      <c r="U220" s="24" t="str">
        <f>HYPERLINK("https://media.infra-m.ru/2215/2215364/cover/2215364.jpg", "Обложка")</f>
        <v>Обложка</v>
      </c>
      <c r="V220" s="24" t="str">
        <f>HYPERLINK("https://znanium.ru/catalog/product/2215364", "Ознакомиться")</f>
        <v>Ознакомиться</v>
      </c>
      <c r="W220" s="8" t="s">
        <v>1568</v>
      </c>
      <c r="X220" s="6"/>
      <c r="Y220" s="6"/>
      <c r="Z220" s="6" t="s">
        <v>48</v>
      </c>
      <c r="AA220" s="6" t="s">
        <v>129</v>
      </c>
      <c r="AB220" s="8"/>
    </row>
    <row r="221" spans="1:28" s="4" customFormat="1" ht="42" customHeight="1">
      <c r="A221" s="5">
        <v>0</v>
      </c>
      <c r="B221" s="6" t="s">
        <v>1569</v>
      </c>
      <c r="C221" s="7">
        <v>1140</v>
      </c>
      <c r="D221" s="8" t="s">
        <v>1570</v>
      </c>
      <c r="E221" s="8" t="s">
        <v>1571</v>
      </c>
      <c r="F221" s="8" t="s">
        <v>1572</v>
      </c>
      <c r="G221" s="6" t="s">
        <v>90</v>
      </c>
      <c r="H221" s="6" t="s">
        <v>54</v>
      </c>
      <c r="I221" s="8" t="s">
        <v>40</v>
      </c>
      <c r="J221" s="9">
        <v>1</v>
      </c>
      <c r="K221" s="9">
        <v>207</v>
      </c>
      <c r="L221" s="9">
        <v>2026</v>
      </c>
      <c r="M221" s="8" t="s">
        <v>1573</v>
      </c>
      <c r="N221" s="8" t="s">
        <v>535</v>
      </c>
      <c r="O221" s="8" t="s">
        <v>1048</v>
      </c>
      <c r="P221" s="6" t="s">
        <v>44</v>
      </c>
      <c r="Q221" s="8" t="s">
        <v>45</v>
      </c>
      <c r="R221" s="10" t="s">
        <v>1574</v>
      </c>
      <c r="S221" s="11"/>
      <c r="T221" s="6" t="s">
        <v>118</v>
      </c>
      <c r="U221" s="24" t="str">
        <f>HYPERLINK("https://media.infra-m.ru/2213/2213284/cover/2213284.jpg", "Обложка")</f>
        <v>Обложка</v>
      </c>
      <c r="V221" s="24" t="str">
        <f>HYPERLINK("https://znanium.ru/catalog/product/2213284", "Ознакомиться")</f>
        <v>Ознакомиться</v>
      </c>
      <c r="W221" s="8" t="s">
        <v>293</v>
      </c>
      <c r="X221" s="6"/>
      <c r="Y221" s="6"/>
      <c r="Z221" s="6" t="s">
        <v>48</v>
      </c>
      <c r="AA221" s="6" t="s">
        <v>354</v>
      </c>
      <c r="AB221" s="8"/>
    </row>
    <row r="222" spans="1:28" s="4" customFormat="1" ht="51.95" customHeight="1">
      <c r="A222" s="5">
        <v>0</v>
      </c>
      <c r="B222" s="6" t="s">
        <v>1575</v>
      </c>
      <c r="C222" s="7">
        <v>2134</v>
      </c>
      <c r="D222" s="8" t="s">
        <v>1576</v>
      </c>
      <c r="E222" s="8" t="s">
        <v>1577</v>
      </c>
      <c r="F222" s="8" t="s">
        <v>1578</v>
      </c>
      <c r="G222" s="6" t="s">
        <v>38</v>
      </c>
      <c r="H222" s="6" t="s">
        <v>39</v>
      </c>
      <c r="I222" s="8" t="s">
        <v>69</v>
      </c>
      <c r="J222" s="9">
        <v>1</v>
      </c>
      <c r="K222" s="9">
        <v>464</v>
      </c>
      <c r="L222" s="9">
        <v>2024</v>
      </c>
      <c r="M222" s="8" t="s">
        <v>1579</v>
      </c>
      <c r="N222" s="8" t="s">
        <v>535</v>
      </c>
      <c r="O222" s="8" t="s">
        <v>856</v>
      </c>
      <c r="P222" s="6" t="s">
        <v>44</v>
      </c>
      <c r="Q222" s="8" t="s">
        <v>45</v>
      </c>
      <c r="R222" s="10" t="s">
        <v>1580</v>
      </c>
      <c r="S222" s="11" t="s">
        <v>1100</v>
      </c>
      <c r="T222" s="6"/>
      <c r="U222" s="24" t="str">
        <f>HYPERLINK("https://media.infra-m.ru/2056/2056630/cover/2056630.jpg", "Обложка")</f>
        <v>Обложка</v>
      </c>
      <c r="V222" s="24" t="str">
        <f>HYPERLINK("https://znanium.ru/catalog/product/1082973", "Ознакомиться")</f>
        <v>Ознакомиться</v>
      </c>
      <c r="W222" s="8" t="s">
        <v>1581</v>
      </c>
      <c r="X222" s="6"/>
      <c r="Y222" s="6" t="s">
        <v>30</v>
      </c>
      <c r="Z222" s="6"/>
      <c r="AA222" s="6" t="s">
        <v>191</v>
      </c>
      <c r="AB222" s="8"/>
    </row>
    <row r="223" spans="1:28" s="4" customFormat="1" ht="42" customHeight="1">
      <c r="A223" s="5">
        <v>0</v>
      </c>
      <c r="B223" s="6" t="s">
        <v>1582</v>
      </c>
      <c r="C223" s="7">
        <v>1640</v>
      </c>
      <c r="D223" s="8" t="s">
        <v>1583</v>
      </c>
      <c r="E223" s="8" t="s">
        <v>1584</v>
      </c>
      <c r="F223" s="8" t="s">
        <v>1585</v>
      </c>
      <c r="G223" s="6" t="s">
        <v>38</v>
      </c>
      <c r="H223" s="6" t="s">
        <v>54</v>
      </c>
      <c r="I223" s="8" t="s">
        <v>40</v>
      </c>
      <c r="J223" s="9">
        <v>1</v>
      </c>
      <c r="K223" s="9">
        <v>313</v>
      </c>
      <c r="L223" s="9">
        <v>2025</v>
      </c>
      <c r="M223" s="8" t="s">
        <v>1586</v>
      </c>
      <c r="N223" s="8" t="s">
        <v>535</v>
      </c>
      <c r="O223" s="8" t="s">
        <v>856</v>
      </c>
      <c r="P223" s="6" t="s">
        <v>44</v>
      </c>
      <c r="Q223" s="8" t="s">
        <v>45</v>
      </c>
      <c r="R223" s="10" t="s">
        <v>1587</v>
      </c>
      <c r="S223" s="11"/>
      <c r="T223" s="6"/>
      <c r="U223" s="24" t="str">
        <f>HYPERLINK("https://media.infra-m.ru/1414/1414398/cover/1414398.jpg", "Обложка")</f>
        <v>Обложка</v>
      </c>
      <c r="V223" s="24" t="str">
        <f>HYPERLINK("https://znanium.ru/catalog/product/1414398", "Ознакомиться")</f>
        <v>Ознакомиться</v>
      </c>
      <c r="W223" s="8" t="s">
        <v>850</v>
      </c>
      <c r="X223" s="6"/>
      <c r="Y223" s="6"/>
      <c r="Z223" s="6"/>
      <c r="AA223" s="6" t="s">
        <v>84</v>
      </c>
      <c r="AB223" s="8"/>
    </row>
    <row r="224" spans="1:28" s="4" customFormat="1" ht="51.95" customHeight="1">
      <c r="A224" s="5">
        <v>0</v>
      </c>
      <c r="B224" s="6" t="s">
        <v>1588</v>
      </c>
      <c r="C224" s="7">
        <v>1400</v>
      </c>
      <c r="D224" s="8" t="s">
        <v>1589</v>
      </c>
      <c r="E224" s="8" t="s">
        <v>1590</v>
      </c>
      <c r="F224" s="8" t="s">
        <v>1591</v>
      </c>
      <c r="G224" s="6" t="s">
        <v>90</v>
      </c>
      <c r="H224" s="6" t="s">
        <v>54</v>
      </c>
      <c r="I224" s="8" t="s">
        <v>40</v>
      </c>
      <c r="J224" s="9">
        <v>1</v>
      </c>
      <c r="K224" s="9">
        <v>270</v>
      </c>
      <c r="L224" s="9">
        <v>2025</v>
      </c>
      <c r="M224" s="8" t="s">
        <v>1592</v>
      </c>
      <c r="N224" s="8" t="s">
        <v>535</v>
      </c>
      <c r="O224" s="8" t="s">
        <v>856</v>
      </c>
      <c r="P224" s="6" t="s">
        <v>58</v>
      </c>
      <c r="Q224" s="8" t="s">
        <v>45</v>
      </c>
      <c r="R224" s="10" t="s">
        <v>1593</v>
      </c>
      <c r="S224" s="11" t="s">
        <v>1594</v>
      </c>
      <c r="T224" s="6"/>
      <c r="U224" s="24" t="str">
        <f>HYPERLINK("https://media.infra-m.ru/2192/2192594/cover/2192594.jpg", "Обложка")</f>
        <v>Обложка</v>
      </c>
      <c r="V224" s="24" t="str">
        <f>HYPERLINK("https://znanium.ru/catalog/product/2192594", "Ознакомиться")</f>
        <v>Ознакомиться</v>
      </c>
      <c r="W224" s="8" t="s">
        <v>172</v>
      </c>
      <c r="X224" s="6"/>
      <c r="Y224" s="6"/>
      <c r="Z224" s="6" t="s">
        <v>207</v>
      </c>
      <c r="AA224" s="6" t="s">
        <v>1595</v>
      </c>
      <c r="AB224" s="8"/>
    </row>
    <row r="225" spans="1:28" s="4" customFormat="1" ht="51.95" customHeight="1">
      <c r="A225" s="5">
        <v>0</v>
      </c>
      <c r="B225" s="6" t="s">
        <v>1596</v>
      </c>
      <c r="C225" s="7">
        <v>2164</v>
      </c>
      <c r="D225" s="8" t="s">
        <v>1597</v>
      </c>
      <c r="E225" s="8" t="s">
        <v>1598</v>
      </c>
      <c r="F225" s="8" t="s">
        <v>1599</v>
      </c>
      <c r="G225" s="6" t="s">
        <v>38</v>
      </c>
      <c r="H225" s="6" t="s">
        <v>54</v>
      </c>
      <c r="I225" s="8" t="s">
        <v>40</v>
      </c>
      <c r="J225" s="9">
        <v>1</v>
      </c>
      <c r="K225" s="9">
        <v>432</v>
      </c>
      <c r="L225" s="9">
        <v>2025</v>
      </c>
      <c r="M225" s="8" t="s">
        <v>1600</v>
      </c>
      <c r="N225" s="8" t="s">
        <v>42</v>
      </c>
      <c r="O225" s="8" t="s">
        <v>187</v>
      </c>
      <c r="P225" s="6" t="s">
        <v>58</v>
      </c>
      <c r="Q225" s="8" t="s">
        <v>45</v>
      </c>
      <c r="R225" s="10" t="s">
        <v>1601</v>
      </c>
      <c r="S225" s="11" t="s">
        <v>1602</v>
      </c>
      <c r="T225" s="6"/>
      <c r="U225" s="24" t="str">
        <f>HYPERLINK("https://media.infra-m.ru/2187/2187225/cover/2187225.jpg", "Обложка")</f>
        <v>Обложка</v>
      </c>
      <c r="V225" s="24" t="str">
        <f>HYPERLINK("https://znanium.ru/catalog/product/2130241", "Ознакомиться")</f>
        <v>Ознакомиться</v>
      </c>
      <c r="W225" s="8" t="s">
        <v>190</v>
      </c>
      <c r="X225" s="6"/>
      <c r="Y225" s="6"/>
      <c r="Z225" s="6"/>
      <c r="AA225" s="6" t="s">
        <v>304</v>
      </c>
      <c r="AB225" s="8"/>
    </row>
    <row r="226" spans="1:28" s="4" customFormat="1" ht="51.95" customHeight="1">
      <c r="A226" s="5">
        <v>0</v>
      </c>
      <c r="B226" s="6" t="s">
        <v>1603</v>
      </c>
      <c r="C226" s="7">
        <v>1214</v>
      </c>
      <c r="D226" s="8" t="s">
        <v>1604</v>
      </c>
      <c r="E226" s="8" t="s">
        <v>1605</v>
      </c>
      <c r="F226" s="8" t="s">
        <v>1606</v>
      </c>
      <c r="G226" s="6" t="s">
        <v>90</v>
      </c>
      <c r="H226" s="6" t="s">
        <v>54</v>
      </c>
      <c r="I226" s="8" t="s">
        <v>40</v>
      </c>
      <c r="J226" s="9">
        <v>1</v>
      </c>
      <c r="K226" s="9">
        <v>233</v>
      </c>
      <c r="L226" s="9">
        <v>2025</v>
      </c>
      <c r="M226" s="8" t="s">
        <v>1607</v>
      </c>
      <c r="N226" s="8" t="s">
        <v>535</v>
      </c>
      <c r="O226" s="8" t="s">
        <v>1048</v>
      </c>
      <c r="P226" s="6" t="s">
        <v>58</v>
      </c>
      <c r="Q226" s="8" t="s">
        <v>45</v>
      </c>
      <c r="R226" s="10" t="s">
        <v>1608</v>
      </c>
      <c r="S226" s="11" t="s">
        <v>1609</v>
      </c>
      <c r="T226" s="6" t="s">
        <v>118</v>
      </c>
      <c r="U226" s="24" t="str">
        <f>HYPERLINK("https://media.infra-m.ru/2205/2205722/cover/2205722.jpg", "Обложка")</f>
        <v>Обложка</v>
      </c>
      <c r="V226" s="24" t="str">
        <f>HYPERLINK("https://znanium.ru/catalog/product/1920318", "Ознакомиться")</f>
        <v>Ознакомиться</v>
      </c>
      <c r="W226" s="8" t="s">
        <v>1610</v>
      </c>
      <c r="X226" s="6"/>
      <c r="Y226" s="6" t="s">
        <v>30</v>
      </c>
      <c r="Z226" s="6"/>
      <c r="AA226" s="6" t="s">
        <v>111</v>
      </c>
      <c r="AB226" s="8"/>
    </row>
    <row r="227" spans="1:28" s="4" customFormat="1" ht="42" customHeight="1">
      <c r="A227" s="5">
        <v>0</v>
      </c>
      <c r="B227" s="6" t="s">
        <v>1611</v>
      </c>
      <c r="C227" s="7">
        <v>1917</v>
      </c>
      <c r="D227" s="8" t="s">
        <v>1612</v>
      </c>
      <c r="E227" s="8" t="s">
        <v>1613</v>
      </c>
      <c r="F227" s="8" t="s">
        <v>1614</v>
      </c>
      <c r="G227" s="6" t="s">
        <v>90</v>
      </c>
      <c r="H227" s="6" t="s">
        <v>54</v>
      </c>
      <c r="I227" s="8" t="s">
        <v>1283</v>
      </c>
      <c r="J227" s="9">
        <v>1</v>
      </c>
      <c r="K227" s="9">
        <v>283</v>
      </c>
      <c r="L227" s="9">
        <v>2025</v>
      </c>
      <c r="M227" s="8" t="s">
        <v>1615</v>
      </c>
      <c r="N227" s="8" t="s">
        <v>42</v>
      </c>
      <c r="O227" s="8" t="s">
        <v>243</v>
      </c>
      <c r="P227" s="6" t="s">
        <v>1285</v>
      </c>
      <c r="Q227" s="8" t="s">
        <v>45</v>
      </c>
      <c r="R227" s="10" t="s">
        <v>1616</v>
      </c>
      <c r="S227" s="11"/>
      <c r="T227" s="6"/>
      <c r="U227" s="24" t="str">
        <f>HYPERLINK("https://media.infra-m.ru/2197/2197835/cover/2197835.jpg", "Обложка")</f>
        <v>Обложка</v>
      </c>
      <c r="V227" s="24" t="str">
        <f>HYPERLINK("https://znanium.ru/catalog/product/2196089", "Ознакомиться")</f>
        <v>Ознакомиться</v>
      </c>
      <c r="W227" s="8"/>
      <c r="X227" s="6"/>
      <c r="Y227" s="6"/>
      <c r="Z227" s="6" t="s">
        <v>48</v>
      </c>
      <c r="AA227" s="6" t="s">
        <v>223</v>
      </c>
      <c r="AB227" s="8"/>
    </row>
    <row r="228" spans="1:28" s="4" customFormat="1" ht="51.95" customHeight="1">
      <c r="A228" s="5">
        <v>0</v>
      </c>
      <c r="B228" s="6" t="s">
        <v>1617</v>
      </c>
      <c r="C228" s="13">
        <v>860</v>
      </c>
      <c r="D228" s="8" t="s">
        <v>1618</v>
      </c>
      <c r="E228" s="8" t="s">
        <v>1619</v>
      </c>
      <c r="F228" s="8" t="s">
        <v>1620</v>
      </c>
      <c r="G228" s="6" t="s">
        <v>90</v>
      </c>
      <c r="H228" s="6" t="s">
        <v>54</v>
      </c>
      <c r="I228" s="8" t="s">
        <v>40</v>
      </c>
      <c r="J228" s="9">
        <v>1</v>
      </c>
      <c r="K228" s="9">
        <v>179</v>
      </c>
      <c r="L228" s="9">
        <v>2024</v>
      </c>
      <c r="M228" s="8" t="s">
        <v>1621</v>
      </c>
      <c r="N228" s="8" t="s">
        <v>125</v>
      </c>
      <c r="O228" s="8" t="s">
        <v>126</v>
      </c>
      <c r="P228" s="6" t="s">
        <v>44</v>
      </c>
      <c r="Q228" s="8" t="s">
        <v>45</v>
      </c>
      <c r="R228" s="10" t="s">
        <v>1622</v>
      </c>
      <c r="S228" s="11" t="s">
        <v>1623</v>
      </c>
      <c r="T228" s="6"/>
      <c r="U228" s="24" t="str">
        <f>HYPERLINK("https://media.infra-m.ru/2094/2094373/cover/2094373.jpg", "Обложка")</f>
        <v>Обложка</v>
      </c>
      <c r="V228" s="24" t="str">
        <f>HYPERLINK("https://znanium.ru/catalog/product/2094373", "Ознакомиться")</f>
        <v>Ознакомиться</v>
      </c>
      <c r="W228" s="8" t="s">
        <v>1624</v>
      </c>
      <c r="X228" s="6"/>
      <c r="Y228" s="6"/>
      <c r="Z228" s="6" t="s">
        <v>48</v>
      </c>
      <c r="AA228" s="6" t="s">
        <v>740</v>
      </c>
      <c r="AB228" s="8"/>
    </row>
    <row r="229" spans="1:28" s="4" customFormat="1" ht="42" customHeight="1">
      <c r="A229" s="5">
        <v>0</v>
      </c>
      <c r="B229" s="6" t="s">
        <v>1625</v>
      </c>
      <c r="C229" s="7">
        <v>1540</v>
      </c>
      <c r="D229" s="8" t="s">
        <v>1626</v>
      </c>
      <c r="E229" s="8" t="s">
        <v>1627</v>
      </c>
      <c r="F229" s="8" t="s">
        <v>1628</v>
      </c>
      <c r="G229" s="6" t="s">
        <v>38</v>
      </c>
      <c r="H229" s="6" t="s">
        <v>54</v>
      </c>
      <c r="I229" s="8" t="s">
        <v>40</v>
      </c>
      <c r="J229" s="9">
        <v>1</v>
      </c>
      <c r="K229" s="9">
        <v>326</v>
      </c>
      <c r="L229" s="9">
        <v>2024</v>
      </c>
      <c r="M229" s="8" t="s">
        <v>1629</v>
      </c>
      <c r="N229" s="8" t="s">
        <v>125</v>
      </c>
      <c r="O229" s="8" t="s">
        <v>1630</v>
      </c>
      <c r="P229" s="6" t="s">
        <v>44</v>
      </c>
      <c r="Q229" s="8" t="s">
        <v>45</v>
      </c>
      <c r="R229" s="10" t="s">
        <v>1005</v>
      </c>
      <c r="S229" s="11"/>
      <c r="T229" s="6"/>
      <c r="U229" s="24" t="str">
        <f>HYPERLINK("https://media.infra-m.ru/0961/0961502/cover/961502.jpg", "Обложка")</f>
        <v>Обложка</v>
      </c>
      <c r="V229" s="24" t="str">
        <f>HYPERLINK("https://znanium.ru/catalog/product/961502", "Ознакомиться")</f>
        <v>Ознакомиться</v>
      </c>
      <c r="W229" s="8" t="s">
        <v>1631</v>
      </c>
      <c r="X229" s="6"/>
      <c r="Y229" s="6"/>
      <c r="Z229" s="6" t="s">
        <v>207</v>
      </c>
      <c r="AA229" s="6" t="s">
        <v>49</v>
      </c>
      <c r="AB229" s="8"/>
    </row>
    <row r="230" spans="1:28" s="4" customFormat="1" ht="51.95" customHeight="1">
      <c r="A230" s="5">
        <v>0</v>
      </c>
      <c r="B230" s="6" t="s">
        <v>1632</v>
      </c>
      <c r="C230" s="7">
        <v>1330</v>
      </c>
      <c r="D230" s="8" t="s">
        <v>1633</v>
      </c>
      <c r="E230" s="8" t="s">
        <v>1634</v>
      </c>
      <c r="F230" s="8" t="s">
        <v>1635</v>
      </c>
      <c r="G230" s="6" t="s">
        <v>90</v>
      </c>
      <c r="H230" s="6" t="s">
        <v>54</v>
      </c>
      <c r="I230" s="8" t="s">
        <v>40</v>
      </c>
      <c r="J230" s="9">
        <v>1</v>
      </c>
      <c r="K230" s="9">
        <v>242</v>
      </c>
      <c r="L230" s="9">
        <v>2026</v>
      </c>
      <c r="M230" s="8" t="s">
        <v>1636</v>
      </c>
      <c r="N230" s="8" t="s">
        <v>125</v>
      </c>
      <c r="O230" s="8" t="s">
        <v>126</v>
      </c>
      <c r="P230" s="6" t="s">
        <v>58</v>
      </c>
      <c r="Q230" s="8" t="s">
        <v>45</v>
      </c>
      <c r="R230" s="10" t="s">
        <v>660</v>
      </c>
      <c r="S230" s="11" t="s">
        <v>1637</v>
      </c>
      <c r="T230" s="6" t="s">
        <v>118</v>
      </c>
      <c r="U230" s="24" t="str">
        <f>HYPERLINK("https://media.infra-m.ru/2218/2218488/cover/2218488.jpg", "Обложка")</f>
        <v>Обложка</v>
      </c>
      <c r="V230" s="24" t="str">
        <f>HYPERLINK("https://znanium.ru/catalog/product/2218488", "Ознакомиться")</f>
        <v>Ознакомиться</v>
      </c>
      <c r="W230" s="8" t="s">
        <v>94</v>
      </c>
      <c r="X230" s="6"/>
      <c r="Y230" s="6"/>
      <c r="Z230" s="6"/>
      <c r="AA230" s="6" t="s">
        <v>443</v>
      </c>
      <c r="AB230" s="8"/>
    </row>
    <row r="231" spans="1:28" s="4" customFormat="1" ht="51.95" customHeight="1">
      <c r="A231" s="5">
        <v>0</v>
      </c>
      <c r="B231" s="6" t="s">
        <v>1638</v>
      </c>
      <c r="C231" s="13">
        <v>704.9</v>
      </c>
      <c r="D231" s="8" t="s">
        <v>1639</v>
      </c>
      <c r="E231" s="8" t="s">
        <v>1640</v>
      </c>
      <c r="F231" s="8" t="s">
        <v>1641</v>
      </c>
      <c r="G231" s="6" t="s">
        <v>38</v>
      </c>
      <c r="H231" s="6" t="s">
        <v>693</v>
      </c>
      <c r="I231" s="8" t="s">
        <v>694</v>
      </c>
      <c r="J231" s="9">
        <v>1</v>
      </c>
      <c r="K231" s="9">
        <v>240</v>
      </c>
      <c r="L231" s="9">
        <v>2018</v>
      </c>
      <c r="M231" s="8" t="s">
        <v>1642</v>
      </c>
      <c r="N231" s="8" t="s">
        <v>125</v>
      </c>
      <c r="O231" s="8" t="s">
        <v>126</v>
      </c>
      <c r="P231" s="6" t="s">
        <v>58</v>
      </c>
      <c r="Q231" s="8" t="s">
        <v>45</v>
      </c>
      <c r="R231" s="10" t="s">
        <v>660</v>
      </c>
      <c r="S231" s="11" t="s">
        <v>1643</v>
      </c>
      <c r="T231" s="6" t="s">
        <v>118</v>
      </c>
      <c r="U231" s="24" t="str">
        <f>HYPERLINK("https://media.infra-m.ru/0958/0958782/cover/958782.jpg", "Обложка")</f>
        <v>Обложка</v>
      </c>
      <c r="V231" s="24" t="str">
        <f>HYPERLINK("https://znanium.ru/catalog/product/2218488", "Ознакомиться")</f>
        <v>Ознакомиться</v>
      </c>
      <c r="W231" s="8" t="s">
        <v>94</v>
      </c>
      <c r="X231" s="6"/>
      <c r="Y231" s="6"/>
      <c r="Z231" s="6"/>
      <c r="AA231" s="6" t="s">
        <v>1644</v>
      </c>
      <c r="AB231" s="8"/>
    </row>
    <row r="232" spans="1:28" s="4" customFormat="1" ht="51.95" customHeight="1">
      <c r="A232" s="5">
        <v>0</v>
      </c>
      <c r="B232" s="6" t="s">
        <v>1645</v>
      </c>
      <c r="C232" s="7">
        <v>2090</v>
      </c>
      <c r="D232" s="8" t="s">
        <v>1646</v>
      </c>
      <c r="E232" s="8" t="s">
        <v>1647</v>
      </c>
      <c r="F232" s="8" t="s">
        <v>1648</v>
      </c>
      <c r="G232" s="6" t="s">
        <v>38</v>
      </c>
      <c r="H232" s="6" t="s">
        <v>54</v>
      </c>
      <c r="I232" s="8" t="s">
        <v>40</v>
      </c>
      <c r="J232" s="9">
        <v>1</v>
      </c>
      <c r="K232" s="9">
        <v>445</v>
      </c>
      <c r="L232" s="9">
        <v>2024</v>
      </c>
      <c r="M232" s="8" t="s">
        <v>1649</v>
      </c>
      <c r="N232" s="8" t="s">
        <v>125</v>
      </c>
      <c r="O232" s="8" t="s">
        <v>432</v>
      </c>
      <c r="P232" s="6" t="s">
        <v>58</v>
      </c>
      <c r="Q232" s="8" t="s">
        <v>45</v>
      </c>
      <c r="R232" s="10" t="s">
        <v>1650</v>
      </c>
      <c r="S232" s="11" t="s">
        <v>1651</v>
      </c>
      <c r="T232" s="6"/>
      <c r="U232" s="24" t="str">
        <f>HYPERLINK("https://media.infra-m.ru/2119/2119558/cover/2119558.jpg", "Обложка")</f>
        <v>Обложка</v>
      </c>
      <c r="V232" s="24" t="str">
        <f>HYPERLINK("https://znanium.ru/catalog/product/2119558", "Ознакомиться")</f>
        <v>Ознакомиться</v>
      </c>
      <c r="W232" s="8" t="s">
        <v>442</v>
      </c>
      <c r="X232" s="6"/>
      <c r="Y232" s="6"/>
      <c r="Z232" s="6" t="s">
        <v>48</v>
      </c>
      <c r="AA232" s="6" t="s">
        <v>1652</v>
      </c>
      <c r="AB232" s="8"/>
    </row>
    <row r="233" spans="1:28" s="4" customFormat="1" ht="51.95" customHeight="1">
      <c r="A233" s="5">
        <v>0</v>
      </c>
      <c r="B233" s="6" t="s">
        <v>1653</v>
      </c>
      <c r="C233" s="7">
        <v>1640</v>
      </c>
      <c r="D233" s="8" t="s">
        <v>1654</v>
      </c>
      <c r="E233" s="8" t="s">
        <v>1655</v>
      </c>
      <c r="F233" s="8" t="s">
        <v>1656</v>
      </c>
      <c r="G233" s="6" t="s">
        <v>90</v>
      </c>
      <c r="H233" s="6" t="s">
        <v>54</v>
      </c>
      <c r="I233" s="8" t="s">
        <v>40</v>
      </c>
      <c r="J233" s="9">
        <v>1</v>
      </c>
      <c r="K233" s="9">
        <v>297</v>
      </c>
      <c r="L233" s="9">
        <v>2026</v>
      </c>
      <c r="M233" s="8" t="s">
        <v>1657</v>
      </c>
      <c r="N233" s="8" t="s">
        <v>535</v>
      </c>
      <c r="O233" s="8" t="s">
        <v>1048</v>
      </c>
      <c r="P233" s="6" t="s">
        <v>44</v>
      </c>
      <c r="Q233" s="8" t="s">
        <v>45</v>
      </c>
      <c r="R233" s="10" t="s">
        <v>1658</v>
      </c>
      <c r="S233" s="11" t="s">
        <v>1659</v>
      </c>
      <c r="T233" s="6"/>
      <c r="U233" s="24" t="str">
        <f>HYPERLINK("https://media.infra-m.ru/2225/2225226/cover/2225226.jpg", "Обложка")</f>
        <v>Обложка</v>
      </c>
      <c r="V233" s="24" t="str">
        <f>HYPERLINK("https://znanium.ru/catalog/product/2225226", "Ознакомиться")</f>
        <v>Ознакомиться</v>
      </c>
      <c r="W233" s="8" t="s">
        <v>1660</v>
      </c>
      <c r="X233" s="6"/>
      <c r="Y233" s="6"/>
      <c r="Z233" s="6"/>
      <c r="AA233" s="6" t="s">
        <v>223</v>
      </c>
      <c r="AB233" s="8"/>
    </row>
    <row r="234" spans="1:28" s="4" customFormat="1" ht="42" customHeight="1">
      <c r="A234" s="5">
        <v>0</v>
      </c>
      <c r="B234" s="6" t="s">
        <v>1661</v>
      </c>
      <c r="C234" s="7">
        <v>1464</v>
      </c>
      <c r="D234" s="8" t="s">
        <v>1662</v>
      </c>
      <c r="E234" s="8" t="s">
        <v>1663</v>
      </c>
      <c r="F234" s="8" t="s">
        <v>1664</v>
      </c>
      <c r="G234" s="6" t="s">
        <v>90</v>
      </c>
      <c r="H234" s="6" t="s">
        <v>359</v>
      </c>
      <c r="I234" s="8" t="s">
        <v>40</v>
      </c>
      <c r="J234" s="9">
        <v>1</v>
      </c>
      <c r="K234" s="9">
        <v>272</v>
      </c>
      <c r="L234" s="9">
        <v>2025</v>
      </c>
      <c r="M234" s="8" t="s">
        <v>1665</v>
      </c>
      <c r="N234" s="8" t="s">
        <v>125</v>
      </c>
      <c r="O234" s="8" t="s">
        <v>352</v>
      </c>
      <c r="P234" s="6" t="s">
        <v>58</v>
      </c>
      <c r="Q234" s="8" t="s">
        <v>45</v>
      </c>
      <c r="R234" s="10" t="s">
        <v>108</v>
      </c>
      <c r="S234" s="11"/>
      <c r="T234" s="6"/>
      <c r="U234" s="24" t="str">
        <f>HYPERLINK("https://media.infra-m.ru/2221/2221575/cover/2221575.jpg", "Обложка")</f>
        <v>Обложка</v>
      </c>
      <c r="V234" s="24" t="str">
        <f>HYPERLINK("https://znanium.ru/catalog/product/2168885", "Ознакомиться")</f>
        <v>Ознакомиться</v>
      </c>
      <c r="W234" s="8" t="s">
        <v>1666</v>
      </c>
      <c r="X234" s="6"/>
      <c r="Y234" s="6" t="s">
        <v>30</v>
      </c>
      <c r="Z234" s="6" t="s">
        <v>48</v>
      </c>
      <c r="AA234" s="6" t="s">
        <v>999</v>
      </c>
      <c r="AB234" s="8"/>
    </row>
    <row r="235" spans="1:28" s="4" customFormat="1" ht="42" customHeight="1">
      <c r="A235" s="5">
        <v>0</v>
      </c>
      <c r="B235" s="6" t="s">
        <v>1667</v>
      </c>
      <c r="C235" s="13">
        <v>920</v>
      </c>
      <c r="D235" s="8" t="s">
        <v>1668</v>
      </c>
      <c r="E235" s="8" t="s">
        <v>1669</v>
      </c>
      <c r="F235" s="8" t="s">
        <v>1664</v>
      </c>
      <c r="G235" s="6" t="s">
        <v>38</v>
      </c>
      <c r="H235" s="6" t="s">
        <v>359</v>
      </c>
      <c r="I235" s="8" t="s">
        <v>40</v>
      </c>
      <c r="J235" s="9">
        <v>1</v>
      </c>
      <c r="K235" s="9">
        <v>304</v>
      </c>
      <c r="L235" s="9">
        <v>2019</v>
      </c>
      <c r="M235" s="8" t="s">
        <v>1670</v>
      </c>
      <c r="N235" s="8" t="s">
        <v>125</v>
      </c>
      <c r="O235" s="8" t="s">
        <v>352</v>
      </c>
      <c r="P235" s="6" t="s">
        <v>58</v>
      </c>
      <c r="Q235" s="8" t="s">
        <v>45</v>
      </c>
      <c r="R235" s="10" t="s">
        <v>108</v>
      </c>
      <c r="S235" s="11"/>
      <c r="T235" s="6"/>
      <c r="U235" s="24" t="str">
        <f>HYPERLINK("https://media.infra-m.ru/1003/1003236/cover/1003236.jpg", "Обложка")</f>
        <v>Обложка</v>
      </c>
      <c r="V235" s="24" t="str">
        <f>HYPERLINK("https://znanium.ru/catalog/product/2168885", "Ознакомиться")</f>
        <v>Ознакомиться</v>
      </c>
      <c r="W235" s="8" t="s">
        <v>1666</v>
      </c>
      <c r="X235" s="6"/>
      <c r="Y235" s="6" t="s">
        <v>30</v>
      </c>
      <c r="Z235" s="6" t="s">
        <v>48</v>
      </c>
      <c r="AA235" s="6" t="s">
        <v>129</v>
      </c>
      <c r="AB235" s="8"/>
    </row>
    <row r="236" spans="1:28" s="4" customFormat="1" ht="42" customHeight="1">
      <c r="A236" s="5">
        <v>0</v>
      </c>
      <c r="B236" s="6" t="s">
        <v>1671</v>
      </c>
      <c r="C236" s="7">
        <v>1600</v>
      </c>
      <c r="D236" s="8" t="s">
        <v>1672</v>
      </c>
      <c r="E236" s="8" t="s">
        <v>1673</v>
      </c>
      <c r="F236" s="8" t="s">
        <v>1664</v>
      </c>
      <c r="G236" s="6" t="s">
        <v>90</v>
      </c>
      <c r="H236" s="6" t="s">
        <v>359</v>
      </c>
      <c r="I236" s="8" t="s">
        <v>40</v>
      </c>
      <c r="J236" s="9">
        <v>1</v>
      </c>
      <c r="K236" s="9">
        <v>296</v>
      </c>
      <c r="L236" s="9">
        <v>2026</v>
      </c>
      <c r="M236" s="8" t="s">
        <v>1674</v>
      </c>
      <c r="N236" s="8" t="s">
        <v>125</v>
      </c>
      <c r="O236" s="8" t="s">
        <v>352</v>
      </c>
      <c r="P236" s="6" t="s">
        <v>58</v>
      </c>
      <c r="Q236" s="8" t="s">
        <v>45</v>
      </c>
      <c r="R236" s="10" t="s">
        <v>108</v>
      </c>
      <c r="S236" s="11"/>
      <c r="T236" s="6"/>
      <c r="U236" s="24" t="str">
        <f>HYPERLINK("https://media.infra-m.ru/2225/2225164/cover/2225164.jpg", "Обложка")</f>
        <v>Обложка</v>
      </c>
      <c r="V236" s="24" t="str">
        <f>HYPERLINK("https://znanium.ru/catalog/product/2168885", "Ознакомиться")</f>
        <v>Ознакомиться</v>
      </c>
      <c r="W236" s="8" t="s">
        <v>1666</v>
      </c>
      <c r="X236" s="6" t="s">
        <v>61</v>
      </c>
      <c r="Y236" s="6" t="s">
        <v>30</v>
      </c>
      <c r="Z236" s="6" t="s">
        <v>48</v>
      </c>
      <c r="AA236" s="6" t="s">
        <v>1675</v>
      </c>
      <c r="AB236" s="8"/>
    </row>
    <row r="237" spans="1:28" s="4" customFormat="1" ht="51.95" customHeight="1">
      <c r="A237" s="5">
        <v>0</v>
      </c>
      <c r="B237" s="6" t="s">
        <v>1676</v>
      </c>
      <c r="C237" s="7">
        <v>1460</v>
      </c>
      <c r="D237" s="8" t="s">
        <v>1677</v>
      </c>
      <c r="E237" s="8" t="s">
        <v>1669</v>
      </c>
      <c r="F237" s="8" t="s">
        <v>1678</v>
      </c>
      <c r="G237" s="6" t="s">
        <v>38</v>
      </c>
      <c r="H237" s="6" t="s">
        <v>54</v>
      </c>
      <c r="I237" s="8" t="s">
        <v>40</v>
      </c>
      <c r="J237" s="9">
        <v>1</v>
      </c>
      <c r="K237" s="9">
        <v>404</v>
      </c>
      <c r="L237" s="9">
        <v>2021</v>
      </c>
      <c r="M237" s="8" t="s">
        <v>1679</v>
      </c>
      <c r="N237" s="8" t="s">
        <v>125</v>
      </c>
      <c r="O237" s="8" t="s">
        <v>352</v>
      </c>
      <c r="P237" s="6" t="s">
        <v>58</v>
      </c>
      <c r="Q237" s="8" t="s">
        <v>45</v>
      </c>
      <c r="R237" s="10" t="s">
        <v>108</v>
      </c>
      <c r="S237" s="11" t="s">
        <v>1680</v>
      </c>
      <c r="T237" s="6"/>
      <c r="U237" s="24" t="str">
        <f>HYPERLINK("https://media.infra-m.ru/1204/1204678/cover/1204678.jpg", "Обложка")</f>
        <v>Обложка</v>
      </c>
      <c r="V237" s="24" t="str">
        <f>HYPERLINK("https://znanium.ru/catalog/product/1204678", "Ознакомиться")</f>
        <v>Ознакомиться</v>
      </c>
      <c r="W237" s="8" t="s">
        <v>1681</v>
      </c>
      <c r="X237" s="6"/>
      <c r="Y237" s="6" t="s">
        <v>30</v>
      </c>
      <c r="Z237" s="6" t="s">
        <v>207</v>
      </c>
      <c r="AA237" s="6" t="s">
        <v>223</v>
      </c>
      <c r="AB237" s="8"/>
    </row>
    <row r="238" spans="1:28" s="4" customFormat="1" ht="51.95" customHeight="1">
      <c r="A238" s="5">
        <v>0</v>
      </c>
      <c r="B238" s="6" t="s">
        <v>1682</v>
      </c>
      <c r="C238" s="13">
        <v>699.9</v>
      </c>
      <c r="D238" s="8" t="s">
        <v>1683</v>
      </c>
      <c r="E238" s="8" t="s">
        <v>1684</v>
      </c>
      <c r="F238" s="8" t="s">
        <v>1685</v>
      </c>
      <c r="G238" s="6"/>
      <c r="H238" s="6" t="s">
        <v>359</v>
      </c>
      <c r="I238" s="8" t="s">
        <v>1686</v>
      </c>
      <c r="J238" s="9">
        <v>8</v>
      </c>
      <c r="K238" s="9">
        <v>608</v>
      </c>
      <c r="L238" s="9">
        <v>2015</v>
      </c>
      <c r="M238" s="8" t="s">
        <v>1687</v>
      </c>
      <c r="N238" s="8" t="s">
        <v>125</v>
      </c>
      <c r="O238" s="8" t="s">
        <v>352</v>
      </c>
      <c r="P238" s="6" t="s">
        <v>58</v>
      </c>
      <c r="Q238" s="8" t="s">
        <v>45</v>
      </c>
      <c r="R238" s="10" t="s">
        <v>108</v>
      </c>
      <c r="S238" s="11" t="s">
        <v>1688</v>
      </c>
      <c r="T238" s="6"/>
      <c r="U238" s="12"/>
      <c r="V238" s="24" t="str">
        <f>HYPERLINK("https://znanium.ru/catalog/product/2168886", "Ознакомиться")</f>
        <v>Ознакомиться</v>
      </c>
      <c r="W238" s="8" t="s">
        <v>361</v>
      </c>
      <c r="X238" s="6"/>
      <c r="Y238" s="6"/>
      <c r="Z238" s="6"/>
      <c r="AA238" s="6" t="s">
        <v>1689</v>
      </c>
      <c r="AB238" s="8"/>
    </row>
    <row r="239" spans="1:28" s="4" customFormat="1" ht="51.95" customHeight="1">
      <c r="A239" s="5">
        <v>0</v>
      </c>
      <c r="B239" s="6" t="s">
        <v>1690</v>
      </c>
      <c r="C239" s="7">
        <v>2994.9</v>
      </c>
      <c r="D239" s="8" t="s">
        <v>1691</v>
      </c>
      <c r="E239" s="8" t="s">
        <v>1692</v>
      </c>
      <c r="F239" s="8" t="s">
        <v>1693</v>
      </c>
      <c r="G239" s="6" t="s">
        <v>90</v>
      </c>
      <c r="H239" s="6" t="s">
        <v>359</v>
      </c>
      <c r="I239" s="8" t="s">
        <v>1686</v>
      </c>
      <c r="J239" s="9">
        <v>1</v>
      </c>
      <c r="K239" s="9">
        <v>688</v>
      </c>
      <c r="L239" s="9">
        <v>2021</v>
      </c>
      <c r="M239" s="8" t="s">
        <v>1694</v>
      </c>
      <c r="N239" s="8" t="s">
        <v>125</v>
      </c>
      <c r="O239" s="8" t="s">
        <v>352</v>
      </c>
      <c r="P239" s="6" t="s">
        <v>58</v>
      </c>
      <c r="Q239" s="8" t="s">
        <v>45</v>
      </c>
      <c r="R239" s="10" t="s">
        <v>108</v>
      </c>
      <c r="S239" s="11" t="s">
        <v>1695</v>
      </c>
      <c r="T239" s="6"/>
      <c r="U239" s="24" t="str">
        <f>HYPERLINK("https://media.infra-m.ru/1905/1905752/cover/1905752.jpg", "Обложка")</f>
        <v>Обложка</v>
      </c>
      <c r="V239" s="24" t="str">
        <f>HYPERLINK("https://znanium.ru/catalog/product/2168886", "Ознакомиться")</f>
        <v>Ознакомиться</v>
      </c>
      <c r="W239" s="8" t="s">
        <v>361</v>
      </c>
      <c r="X239" s="6"/>
      <c r="Y239" s="6"/>
      <c r="Z239" s="6"/>
      <c r="AA239" s="6" t="s">
        <v>1696</v>
      </c>
      <c r="AB239" s="8"/>
    </row>
    <row r="240" spans="1:28" s="4" customFormat="1" ht="51.95" customHeight="1">
      <c r="A240" s="5">
        <v>0</v>
      </c>
      <c r="B240" s="6" t="s">
        <v>1697</v>
      </c>
      <c r="C240" s="7">
        <v>3394</v>
      </c>
      <c r="D240" s="8" t="s">
        <v>1698</v>
      </c>
      <c r="E240" s="8" t="s">
        <v>1699</v>
      </c>
      <c r="F240" s="8" t="s">
        <v>1700</v>
      </c>
      <c r="G240" s="6" t="s">
        <v>38</v>
      </c>
      <c r="H240" s="6" t="s">
        <v>359</v>
      </c>
      <c r="I240" s="8" t="s">
        <v>1686</v>
      </c>
      <c r="J240" s="9">
        <v>1</v>
      </c>
      <c r="K240" s="9">
        <v>680</v>
      </c>
      <c r="L240" s="9">
        <v>2024</v>
      </c>
      <c r="M240" s="8" t="s">
        <v>1701</v>
      </c>
      <c r="N240" s="8" t="s">
        <v>125</v>
      </c>
      <c r="O240" s="8" t="s">
        <v>352</v>
      </c>
      <c r="P240" s="6" t="s">
        <v>58</v>
      </c>
      <c r="Q240" s="8" t="s">
        <v>45</v>
      </c>
      <c r="R240" s="10" t="s">
        <v>108</v>
      </c>
      <c r="S240" s="11" t="s">
        <v>1695</v>
      </c>
      <c r="T240" s="6"/>
      <c r="U240" s="24" t="str">
        <f>HYPERLINK("https://media.infra-m.ru/2175/2175282/cover/2175282.jpg", "Обложка")</f>
        <v>Обложка</v>
      </c>
      <c r="V240" s="24" t="str">
        <f>HYPERLINK("https://znanium.ru/catalog/product/2168886", "Ознакомиться")</f>
        <v>Ознакомиться</v>
      </c>
      <c r="W240" s="8" t="s">
        <v>361</v>
      </c>
      <c r="X240" s="6"/>
      <c r="Y240" s="6"/>
      <c r="Z240" s="6"/>
      <c r="AA240" s="6" t="s">
        <v>1702</v>
      </c>
      <c r="AB240" s="8"/>
    </row>
    <row r="241" spans="1:28" s="4" customFormat="1" ht="51.95" customHeight="1">
      <c r="A241" s="5">
        <v>0</v>
      </c>
      <c r="B241" s="6" t="s">
        <v>1703</v>
      </c>
      <c r="C241" s="7">
        <v>1064</v>
      </c>
      <c r="D241" s="8" t="s">
        <v>1704</v>
      </c>
      <c r="E241" s="8" t="s">
        <v>1705</v>
      </c>
      <c r="F241" s="8" t="s">
        <v>1706</v>
      </c>
      <c r="G241" s="6" t="s">
        <v>90</v>
      </c>
      <c r="H241" s="6" t="s">
        <v>54</v>
      </c>
      <c r="I241" s="8" t="s">
        <v>40</v>
      </c>
      <c r="J241" s="9">
        <v>1</v>
      </c>
      <c r="K241" s="9">
        <v>205</v>
      </c>
      <c r="L241" s="9">
        <v>2026</v>
      </c>
      <c r="M241" s="8" t="s">
        <v>1707</v>
      </c>
      <c r="N241" s="8" t="s">
        <v>42</v>
      </c>
      <c r="O241" s="8" t="s">
        <v>43</v>
      </c>
      <c r="P241" s="6" t="s">
        <v>58</v>
      </c>
      <c r="Q241" s="8" t="s">
        <v>45</v>
      </c>
      <c r="R241" s="10" t="s">
        <v>1708</v>
      </c>
      <c r="S241" s="11" t="s">
        <v>1709</v>
      </c>
      <c r="T241" s="6"/>
      <c r="U241" s="24" t="str">
        <f>HYPERLINK("https://media.infra-m.ru/2213/2213309/cover/2213309.jpg", "Обложка")</f>
        <v>Обложка</v>
      </c>
      <c r="V241" s="24" t="str">
        <f>HYPERLINK("https://znanium.ru/catalog/product/2149045", "Ознакомиться")</f>
        <v>Ознакомиться</v>
      </c>
      <c r="W241" s="8" t="s">
        <v>82</v>
      </c>
      <c r="X241" s="6"/>
      <c r="Y241" s="6"/>
      <c r="Z241" s="6" t="s">
        <v>48</v>
      </c>
      <c r="AA241" s="6" t="s">
        <v>740</v>
      </c>
      <c r="AB241" s="8"/>
    </row>
    <row r="242" spans="1:28" s="4" customFormat="1" ht="51.95" customHeight="1">
      <c r="A242" s="5">
        <v>0</v>
      </c>
      <c r="B242" s="6" t="s">
        <v>1710</v>
      </c>
      <c r="C242" s="7">
        <v>1194</v>
      </c>
      <c r="D242" s="8" t="s">
        <v>1711</v>
      </c>
      <c r="E242" s="8" t="s">
        <v>1712</v>
      </c>
      <c r="F242" s="8" t="s">
        <v>1713</v>
      </c>
      <c r="G242" s="6" t="s">
        <v>90</v>
      </c>
      <c r="H242" s="6" t="s">
        <v>39</v>
      </c>
      <c r="I242" s="8" t="s">
        <v>40</v>
      </c>
      <c r="J242" s="9">
        <v>1</v>
      </c>
      <c r="K242" s="9">
        <v>239</v>
      </c>
      <c r="L242" s="9">
        <v>2024</v>
      </c>
      <c r="M242" s="8" t="s">
        <v>1714</v>
      </c>
      <c r="N242" s="8" t="s">
        <v>42</v>
      </c>
      <c r="O242" s="8" t="s">
        <v>243</v>
      </c>
      <c r="P242" s="6" t="s">
        <v>44</v>
      </c>
      <c r="Q242" s="8" t="s">
        <v>45</v>
      </c>
      <c r="R242" s="10" t="s">
        <v>1715</v>
      </c>
      <c r="S242" s="11" t="s">
        <v>1716</v>
      </c>
      <c r="T242" s="6"/>
      <c r="U242" s="24" t="str">
        <f>HYPERLINK("https://media.infra-m.ru/2167/2167527/cover/2167527.jpg", "Обложка")</f>
        <v>Обложка</v>
      </c>
      <c r="V242" s="24" t="str">
        <f>HYPERLINK("https://znanium.ru/catalog/product/2160671", "Ознакомиться")</f>
        <v>Ознакомиться</v>
      </c>
      <c r="W242" s="8" t="s">
        <v>172</v>
      </c>
      <c r="X242" s="6"/>
      <c r="Y242" s="6"/>
      <c r="Z242" s="6" t="s">
        <v>48</v>
      </c>
      <c r="AA242" s="6" t="s">
        <v>111</v>
      </c>
      <c r="AB242" s="8"/>
    </row>
    <row r="243" spans="1:28" s="4" customFormat="1" ht="51.95" customHeight="1">
      <c r="A243" s="5">
        <v>0</v>
      </c>
      <c r="B243" s="6" t="s">
        <v>1717</v>
      </c>
      <c r="C243" s="7">
        <v>2400</v>
      </c>
      <c r="D243" s="8" t="s">
        <v>1718</v>
      </c>
      <c r="E243" s="8" t="s">
        <v>1719</v>
      </c>
      <c r="F243" s="8" t="s">
        <v>1720</v>
      </c>
      <c r="G243" s="6" t="s">
        <v>38</v>
      </c>
      <c r="H243" s="6" t="s">
        <v>54</v>
      </c>
      <c r="I243" s="8" t="s">
        <v>40</v>
      </c>
      <c r="J243" s="9">
        <v>1</v>
      </c>
      <c r="K243" s="9">
        <v>522</v>
      </c>
      <c r="L243" s="9">
        <v>2024</v>
      </c>
      <c r="M243" s="8" t="s">
        <v>1721</v>
      </c>
      <c r="N243" s="8" t="s">
        <v>42</v>
      </c>
      <c r="O243" s="8" t="s">
        <v>319</v>
      </c>
      <c r="P243" s="6" t="s">
        <v>58</v>
      </c>
      <c r="Q243" s="8" t="s">
        <v>45</v>
      </c>
      <c r="R243" s="10" t="s">
        <v>1722</v>
      </c>
      <c r="S243" s="11" t="s">
        <v>1723</v>
      </c>
      <c r="T243" s="6" t="s">
        <v>118</v>
      </c>
      <c r="U243" s="24" t="str">
        <f>HYPERLINK("https://media.infra-m.ru/2132/2132536/cover/2132536.jpg", "Обложка")</f>
        <v>Обложка</v>
      </c>
      <c r="V243" s="24" t="str">
        <f>HYPERLINK("https://znanium.ru/catalog/product/2132536", "Ознакомиться")</f>
        <v>Ознакомиться</v>
      </c>
      <c r="W243" s="8" t="s">
        <v>293</v>
      </c>
      <c r="X243" s="6"/>
      <c r="Y243" s="6"/>
      <c r="Z243" s="6" t="s">
        <v>48</v>
      </c>
      <c r="AA243" s="6" t="s">
        <v>129</v>
      </c>
      <c r="AB243" s="8"/>
    </row>
    <row r="244" spans="1:28" s="4" customFormat="1" ht="51.95" customHeight="1">
      <c r="A244" s="5">
        <v>0</v>
      </c>
      <c r="B244" s="6" t="s">
        <v>1724</v>
      </c>
      <c r="C244" s="7">
        <v>2309</v>
      </c>
      <c r="D244" s="8" t="s">
        <v>1725</v>
      </c>
      <c r="E244" s="8" t="s">
        <v>1726</v>
      </c>
      <c r="F244" s="8" t="s">
        <v>1727</v>
      </c>
      <c r="G244" s="6" t="s">
        <v>90</v>
      </c>
      <c r="H244" s="6" t="s">
        <v>39</v>
      </c>
      <c r="I244" s="8" t="s">
        <v>40</v>
      </c>
      <c r="J244" s="9">
        <v>1</v>
      </c>
      <c r="K244" s="9">
        <v>288</v>
      </c>
      <c r="L244" s="9">
        <v>2025</v>
      </c>
      <c r="M244" s="8" t="s">
        <v>1728</v>
      </c>
      <c r="N244" s="8" t="s">
        <v>56</v>
      </c>
      <c r="O244" s="8" t="s">
        <v>807</v>
      </c>
      <c r="P244" s="6" t="s">
        <v>44</v>
      </c>
      <c r="Q244" s="8" t="s">
        <v>45</v>
      </c>
      <c r="R244" s="10" t="s">
        <v>1729</v>
      </c>
      <c r="S244" s="11" t="s">
        <v>1106</v>
      </c>
      <c r="T244" s="6"/>
      <c r="U244" s="24" t="str">
        <f>HYPERLINK("https://media.infra-m.ru/2203/2203140/cover/2203140.jpg", "Обложка")</f>
        <v>Обложка</v>
      </c>
      <c r="V244" s="24" t="str">
        <f>HYPERLINK("https://znanium.ru/catalog/product/2203140", "Ознакомиться")</f>
        <v>Ознакомиться</v>
      </c>
      <c r="W244" s="8" t="s">
        <v>180</v>
      </c>
      <c r="X244" s="6"/>
      <c r="Y244" s="6"/>
      <c r="Z244" s="6"/>
      <c r="AA244" s="6" t="s">
        <v>1730</v>
      </c>
      <c r="AB244" s="8"/>
    </row>
    <row r="245" spans="1:28" s="4" customFormat="1" ht="51.95" customHeight="1">
      <c r="A245" s="5">
        <v>0</v>
      </c>
      <c r="B245" s="6" t="s">
        <v>1731</v>
      </c>
      <c r="C245" s="7">
        <v>1000</v>
      </c>
      <c r="D245" s="8" t="s">
        <v>1732</v>
      </c>
      <c r="E245" s="8" t="s">
        <v>1733</v>
      </c>
      <c r="F245" s="8" t="s">
        <v>1734</v>
      </c>
      <c r="G245" s="6" t="s">
        <v>38</v>
      </c>
      <c r="H245" s="6" t="s">
        <v>54</v>
      </c>
      <c r="I245" s="8" t="s">
        <v>40</v>
      </c>
      <c r="J245" s="9">
        <v>1</v>
      </c>
      <c r="K245" s="9">
        <v>173</v>
      </c>
      <c r="L245" s="9">
        <v>2025</v>
      </c>
      <c r="M245" s="8" t="s">
        <v>1735</v>
      </c>
      <c r="N245" s="8" t="s">
        <v>125</v>
      </c>
      <c r="O245" s="8" t="s">
        <v>126</v>
      </c>
      <c r="P245" s="6" t="s">
        <v>44</v>
      </c>
      <c r="Q245" s="8" t="s">
        <v>45</v>
      </c>
      <c r="R245" s="10" t="s">
        <v>1736</v>
      </c>
      <c r="S245" s="11"/>
      <c r="T245" s="6"/>
      <c r="U245" s="24" t="str">
        <f>HYPERLINK("https://media.infra-m.ru/2180/2180372/cover/2180372.jpg", "Обложка")</f>
        <v>Обложка</v>
      </c>
      <c r="V245" s="24" t="str">
        <f>HYPERLINK("https://znanium.ru/catalog/product/2180372", "Ознакомиться")</f>
        <v>Ознакомиться</v>
      </c>
      <c r="W245" s="8" t="s">
        <v>1737</v>
      </c>
      <c r="X245" s="6" t="s">
        <v>518</v>
      </c>
      <c r="Y245" s="6"/>
      <c r="Z245" s="6"/>
      <c r="AA245" s="6" t="s">
        <v>84</v>
      </c>
      <c r="AB245" s="8"/>
    </row>
    <row r="246" spans="1:28" s="4" customFormat="1" ht="51.95" customHeight="1">
      <c r="A246" s="5">
        <v>0</v>
      </c>
      <c r="B246" s="6" t="s">
        <v>1738</v>
      </c>
      <c r="C246" s="13">
        <v>620</v>
      </c>
      <c r="D246" s="8" t="s">
        <v>1739</v>
      </c>
      <c r="E246" s="8" t="s">
        <v>1740</v>
      </c>
      <c r="F246" s="8" t="s">
        <v>1741</v>
      </c>
      <c r="G246" s="6" t="s">
        <v>67</v>
      </c>
      <c r="H246" s="6" t="s">
        <v>54</v>
      </c>
      <c r="I246" s="8" t="s">
        <v>40</v>
      </c>
      <c r="J246" s="9">
        <v>1</v>
      </c>
      <c r="K246" s="9">
        <v>136</v>
      </c>
      <c r="L246" s="9">
        <v>2023</v>
      </c>
      <c r="M246" s="8" t="s">
        <v>1742</v>
      </c>
      <c r="N246" s="8" t="s">
        <v>125</v>
      </c>
      <c r="O246" s="8" t="s">
        <v>1630</v>
      </c>
      <c r="P246" s="6" t="s">
        <v>1743</v>
      </c>
      <c r="Q246" s="8" t="s">
        <v>45</v>
      </c>
      <c r="R246" s="10" t="s">
        <v>1744</v>
      </c>
      <c r="S246" s="11" t="s">
        <v>1745</v>
      </c>
      <c r="T246" s="6"/>
      <c r="U246" s="24" t="str">
        <f>HYPERLINK("https://media.infra-m.ru/2008/2008751/cover/2008751.jpg", "Обложка")</f>
        <v>Обложка</v>
      </c>
      <c r="V246" s="24" t="str">
        <f>HYPERLINK("https://znanium.ru/catalog/product/2151405", "Ознакомиться")</f>
        <v>Ознакомиться</v>
      </c>
      <c r="W246" s="8" t="s">
        <v>1746</v>
      </c>
      <c r="X246" s="6"/>
      <c r="Y246" s="6"/>
      <c r="Z246" s="6" t="s">
        <v>48</v>
      </c>
      <c r="AA246" s="6" t="s">
        <v>330</v>
      </c>
      <c r="AB246" s="8"/>
    </row>
    <row r="247" spans="1:28" s="4" customFormat="1" ht="51.95" customHeight="1">
      <c r="A247" s="5">
        <v>0</v>
      </c>
      <c r="B247" s="6" t="s">
        <v>1747</v>
      </c>
      <c r="C247" s="13">
        <v>790</v>
      </c>
      <c r="D247" s="8" t="s">
        <v>1748</v>
      </c>
      <c r="E247" s="8" t="s">
        <v>1749</v>
      </c>
      <c r="F247" s="8" t="s">
        <v>1750</v>
      </c>
      <c r="G247" s="6" t="s">
        <v>38</v>
      </c>
      <c r="H247" s="6" t="s">
        <v>54</v>
      </c>
      <c r="I247" s="8" t="s">
        <v>40</v>
      </c>
      <c r="J247" s="9">
        <v>1</v>
      </c>
      <c r="K247" s="9">
        <v>153</v>
      </c>
      <c r="L247" s="9">
        <v>2024</v>
      </c>
      <c r="M247" s="8" t="s">
        <v>1751</v>
      </c>
      <c r="N247" s="8" t="s">
        <v>125</v>
      </c>
      <c r="O247" s="8" t="s">
        <v>1630</v>
      </c>
      <c r="P247" s="6" t="s">
        <v>1743</v>
      </c>
      <c r="Q247" s="8" t="s">
        <v>45</v>
      </c>
      <c r="R247" s="10" t="s">
        <v>1744</v>
      </c>
      <c r="S247" s="11" t="s">
        <v>1745</v>
      </c>
      <c r="T247" s="6"/>
      <c r="U247" s="24" t="str">
        <f>HYPERLINK("https://media.infra-m.ru/2151/2151405/cover/2151405.jpg", "Обложка")</f>
        <v>Обложка</v>
      </c>
      <c r="V247" s="24" t="str">
        <f>HYPERLINK("https://znanium.ru/catalog/product/2151405", "Ознакомиться")</f>
        <v>Ознакомиться</v>
      </c>
      <c r="W247" s="8" t="s">
        <v>1746</v>
      </c>
      <c r="X247" s="6"/>
      <c r="Y247" s="6"/>
      <c r="Z247" s="6" t="s">
        <v>48</v>
      </c>
      <c r="AA247" s="6" t="s">
        <v>1752</v>
      </c>
      <c r="AB247" s="8"/>
    </row>
    <row r="248" spans="1:28" s="4" customFormat="1" ht="51.95" customHeight="1">
      <c r="A248" s="5">
        <v>0</v>
      </c>
      <c r="B248" s="6" t="s">
        <v>1753</v>
      </c>
      <c r="C248" s="13">
        <v>990</v>
      </c>
      <c r="D248" s="8" t="s">
        <v>1754</v>
      </c>
      <c r="E248" s="8" t="s">
        <v>1755</v>
      </c>
      <c r="F248" s="8" t="s">
        <v>1756</v>
      </c>
      <c r="G248" s="6" t="s">
        <v>38</v>
      </c>
      <c r="H248" s="6" t="s">
        <v>54</v>
      </c>
      <c r="I248" s="8" t="s">
        <v>40</v>
      </c>
      <c r="J248" s="9">
        <v>1</v>
      </c>
      <c r="K248" s="9">
        <v>190</v>
      </c>
      <c r="L248" s="9">
        <v>2025</v>
      </c>
      <c r="M248" s="8" t="s">
        <v>1757</v>
      </c>
      <c r="N248" s="8" t="s">
        <v>125</v>
      </c>
      <c r="O248" s="8" t="s">
        <v>1630</v>
      </c>
      <c r="P248" s="6" t="s">
        <v>44</v>
      </c>
      <c r="Q248" s="8" t="s">
        <v>45</v>
      </c>
      <c r="R248" s="10" t="s">
        <v>1758</v>
      </c>
      <c r="S248" s="11"/>
      <c r="T248" s="6"/>
      <c r="U248" s="24" t="str">
        <f>HYPERLINK("https://media.infra-m.ru/2169/2169572/cover/2169572.jpg", "Обложка")</f>
        <v>Обложка</v>
      </c>
      <c r="V248" s="24" t="str">
        <f>HYPERLINK("https://znanium.ru/catalog/product/2169572", "Ознакомиться")</f>
        <v>Ознакомиться</v>
      </c>
      <c r="W248" s="8" t="s">
        <v>1759</v>
      </c>
      <c r="X248" s="6" t="s">
        <v>367</v>
      </c>
      <c r="Y248" s="6"/>
      <c r="Z248" s="6" t="s">
        <v>48</v>
      </c>
      <c r="AA248" s="6" t="s">
        <v>84</v>
      </c>
      <c r="AB248" s="8"/>
    </row>
    <row r="249" spans="1:28" s="4" customFormat="1" ht="44.1" customHeight="1">
      <c r="A249" s="5">
        <v>0</v>
      </c>
      <c r="B249" s="6" t="s">
        <v>1760</v>
      </c>
      <c r="C249" s="7">
        <v>1300</v>
      </c>
      <c r="D249" s="8" t="s">
        <v>1761</v>
      </c>
      <c r="E249" s="8" t="s">
        <v>1762</v>
      </c>
      <c r="F249" s="8" t="s">
        <v>1763</v>
      </c>
      <c r="G249" s="6" t="s">
        <v>38</v>
      </c>
      <c r="H249" s="6" t="s">
        <v>54</v>
      </c>
      <c r="I249" s="8" t="s">
        <v>40</v>
      </c>
      <c r="J249" s="9">
        <v>1</v>
      </c>
      <c r="K249" s="9">
        <v>258</v>
      </c>
      <c r="L249" s="9">
        <v>2025</v>
      </c>
      <c r="M249" s="8" t="s">
        <v>1764</v>
      </c>
      <c r="N249" s="8" t="s">
        <v>125</v>
      </c>
      <c r="O249" s="8" t="s">
        <v>1630</v>
      </c>
      <c r="P249" s="6" t="s">
        <v>44</v>
      </c>
      <c r="Q249" s="8" t="s">
        <v>45</v>
      </c>
      <c r="R249" s="10" t="s">
        <v>1765</v>
      </c>
      <c r="S249" s="11"/>
      <c r="T249" s="6"/>
      <c r="U249" s="24" t="str">
        <f>HYPERLINK("https://media.infra-m.ru/2163/2163868/cover/2163868.jpg", "Обложка")</f>
        <v>Обложка</v>
      </c>
      <c r="V249" s="24" t="str">
        <f>HYPERLINK("https://znanium.ru/catalog/product/2163868", "Ознакомиться")</f>
        <v>Ознакомиться</v>
      </c>
      <c r="W249" s="8" t="s">
        <v>1223</v>
      </c>
      <c r="X249" s="6" t="s">
        <v>367</v>
      </c>
      <c r="Y249" s="6"/>
      <c r="Z249" s="6" t="s">
        <v>48</v>
      </c>
      <c r="AA249" s="6" t="s">
        <v>84</v>
      </c>
      <c r="AB249" s="8"/>
    </row>
    <row r="250" spans="1:28" s="4" customFormat="1" ht="51.95" customHeight="1">
      <c r="A250" s="5">
        <v>0</v>
      </c>
      <c r="B250" s="6" t="s">
        <v>1766</v>
      </c>
      <c r="C250" s="7">
        <v>2100</v>
      </c>
      <c r="D250" s="8" t="s">
        <v>1767</v>
      </c>
      <c r="E250" s="8" t="s">
        <v>1768</v>
      </c>
      <c r="F250" s="8" t="s">
        <v>1769</v>
      </c>
      <c r="G250" s="6" t="s">
        <v>38</v>
      </c>
      <c r="H250" s="6" t="s">
        <v>54</v>
      </c>
      <c r="I250" s="8" t="s">
        <v>40</v>
      </c>
      <c r="J250" s="9">
        <v>1</v>
      </c>
      <c r="K250" s="9">
        <v>403</v>
      </c>
      <c r="L250" s="9">
        <v>2025</v>
      </c>
      <c r="M250" s="8" t="s">
        <v>1770</v>
      </c>
      <c r="N250" s="8" t="s">
        <v>125</v>
      </c>
      <c r="O250" s="8" t="s">
        <v>1630</v>
      </c>
      <c r="P250" s="6" t="s">
        <v>58</v>
      </c>
      <c r="Q250" s="8" t="s">
        <v>45</v>
      </c>
      <c r="R250" s="10" t="s">
        <v>1771</v>
      </c>
      <c r="S250" s="11"/>
      <c r="T250" s="6" t="s">
        <v>118</v>
      </c>
      <c r="U250" s="24" t="str">
        <f>HYPERLINK("https://media.infra-m.ru/2199/2199486/cover/2199486.jpg", "Обложка")</f>
        <v>Обложка</v>
      </c>
      <c r="V250" s="24" t="str">
        <f>HYPERLINK("https://znanium.ru/catalog/product/2174888", "Ознакомиться")</f>
        <v>Ознакомиться</v>
      </c>
      <c r="W250" s="8" t="s">
        <v>94</v>
      </c>
      <c r="X250" s="6"/>
      <c r="Y250" s="6"/>
      <c r="Z250" s="6" t="s">
        <v>48</v>
      </c>
      <c r="AA250" s="6" t="s">
        <v>1253</v>
      </c>
      <c r="AB250" s="8"/>
    </row>
    <row r="251" spans="1:28" s="4" customFormat="1" ht="42" customHeight="1">
      <c r="A251" s="5">
        <v>0</v>
      </c>
      <c r="B251" s="6" t="s">
        <v>1772</v>
      </c>
      <c r="C251" s="7">
        <v>1190</v>
      </c>
      <c r="D251" s="8" t="s">
        <v>1773</v>
      </c>
      <c r="E251" s="8" t="s">
        <v>1774</v>
      </c>
      <c r="F251" s="8" t="s">
        <v>1775</v>
      </c>
      <c r="G251" s="6" t="s">
        <v>38</v>
      </c>
      <c r="H251" s="6" t="s">
        <v>54</v>
      </c>
      <c r="I251" s="8" t="s">
        <v>40</v>
      </c>
      <c r="J251" s="9">
        <v>1</v>
      </c>
      <c r="K251" s="9">
        <v>207</v>
      </c>
      <c r="L251" s="9">
        <v>2025</v>
      </c>
      <c r="M251" s="8" t="s">
        <v>1776</v>
      </c>
      <c r="N251" s="8" t="s">
        <v>125</v>
      </c>
      <c r="O251" s="8" t="s">
        <v>432</v>
      </c>
      <c r="P251" s="6" t="s">
        <v>44</v>
      </c>
      <c r="Q251" s="8" t="s">
        <v>45</v>
      </c>
      <c r="R251" s="10" t="s">
        <v>908</v>
      </c>
      <c r="S251" s="11"/>
      <c r="T251" s="6"/>
      <c r="U251" s="24" t="str">
        <f>HYPERLINK("https://media.infra-m.ru/2186/2186398/cover/2186398.jpg", "Обложка")</f>
        <v>Обложка</v>
      </c>
      <c r="V251" s="24" t="str">
        <f>HYPERLINK("https://znanium.ru/catalog/product/2186398", "Ознакомиться")</f>
        <v>Ознакомиться</v>
      </c>
      <c r="W251" s="8" t="s">
        <v>73</v>
      </c>
      <c r="X251" s="6" t="s">
        <v>1400</v>
      </c>
      <c r="Y251" s="6"/>
      <c r="Z251" s="6"/>
      <c r="AA251" s="6" t="s">
        <v>84</v>
      </c>
      <c r="AB251" s="8"/>
    </row>
    <row r="252" spans="1:28" s="4" customFormat="1" ht="51.95" customHeight="1">
      <c r="A252" s="5">
        <v>0</v>
      </c>
      <c r="B252" s="6" t="s">
        <v>1777</v>
      </c>
      <c r="C252" s="7">
        <v>1090</v>
      </c>
      <c r="D252" s="8" t="s">
        <v>1778</v>
      </c>
      <c r="E252" s="8" t="s">
        <v>1779</v>
      </c>
      <c r="F252" s="8" t="s">
        <v>1780</v>
      </c>
      <c r="G252" s="6" t="s">
        <v>90</v>
      </c>
      <c r="H252" s="6" t="s">
        <v>54</v>
      </c>
      <c r="I252" s="8" t="s">
        <v>40</v>
      </c>
      <c r="J252" s="9">
        <v>1</v>
      </c>
      <c r="K252" s="9">
        <v>203</v>
      </c>
      <c r="L252" s="9">
        <v>2026</v>
      </c>
      <c r="M252" s="8" t="s">
        <v>1781</v>
      </c>
      <c r="N252" s="8" t="s">
        <v>42</v>
      </c>
      <c r="O252" s="8" t="s">
        <v>169</v>
      </c>
      <c r="P252" s="6" t="s">
        <v>44</v>
      </c>
      <c r="Q252" s="8" t="s">
        <v>45</v>
      </c>
      <c r="R252" s="10" t="s">
        <v>1782</v>
      </c>
      <c r="S252" s="11" t="s">
        <v>1783</v>
      </c>
      <c r="T252" s="6"/>
      <c r="U252" s="24" t="str">
        <f>HYPERLINK("https://media.infra-m.ru/2213/2213528/cover/2213528.jpg", "Обложка")</f>
        <v>Обложка</v>
      </c>
      <c r="V252" s="24" t="str">
        <f>HYPERLINK("https://znanium.ru/catalog/product/2213528", "Ознакомиться")</f>
        <v>Ознакомиться</v>
      </c>
      <c r="W252" s="8" t="s">
        <v>1067</v>
      </c>
      <c r="X252" s="6"/>
      <c r="Y252" s="6" t="s">
        <v>30</v>
      </c>
      <c r="Z252" s="6"/>
      <c r="AA252" s="6" t="s">
        <v>1547</v>
      </c>
      <c r="AB252" s="8" t="s">
        <v>860</v>
      </c>
    </row>
    <row r="253" spans="1:28" s="4" customFormat="1" ht="51.95" customHeight="1">
      <c r="A253" s="5">
        <v>0</v>
      </c>
      <c r="B253" s="6" t="s">
        <v>1784</v>
      </c>
      <c r="C253" s="7">
        <v>1870</v>
      </c>
      <c r="D253" s="8" t="s">
        <v>1785</v>
      </c>
      <c r="E253" s="8" t="s">
        <v>1786</v>
      </c>
      <c r="F253" s="8" t="s">
        <v>1787</v>
      </c>
      <c r="G253" s="6" t="s">
        <v>90</v>
      </c>
      <c r="H253" s="6" t="s">
        <v>54</v>
      </c>
      <c r="I253" s="8" t="s">
        <v>40</v>
      </c>
      <c r="J253" s="9">
        <v>1</v>
      </c>
      <c r="K253" s="9">
        <v>416</v>
      </c>
      <c r="L253" s="9">
        <v>2023</v>
      </c>
      <c r="M253" s="8" t="s">
        <v>1788</v>
      </c>
      <c r="N253" s="8" t="s">
        <v>42</v>
      </c>
      <c r="O253" s="8" t="s">
        <v>169</v>
      </c>
      <c r="P253" s="6" t="s">
        <v>44</v>
      </c>
      <c r="Q253" s="8" t="s">
        <v>45</v>
      </c>
      <c r="R253" s="10" t="s">
        <v>1789</v>
      </c>
      <c r="S253" s="11" t="s">
        <v>1790</v>
      </c>
      <c r="T253" s="6"/>
      <c r="U253" s="24" t="str">
        <f>HYPERLINK("https://media.infra-m.ru/1915/1915372/cover/1915372.jpg", "Обложка")</f>
        <v>Обложка</v>
      </c>
      <c r="V253" s="24" t="str">
        <f>HYPERLINK("https://znanium.ru/catalog/product/1915372", "Ознакомиться")</f>
        <v>Ознакомиться</v>
      </c>
      <c r="W253" s="8" t="s">
        <v>146</v>
      </c>
      <c r="X253" s="6"/>
      <c r="Y253" s="6"/>
      <c r="Z253" s="6" t="s">
        <v>207</v>
      </c>
      <c r="AA253" s="6" t="s">
        <v>443</v>
      </c>
      <c r="AB253" s="8"/>
    </row>
    <row r="254" spans="1:28" s="4" customFormat="1" ht="51.95" customHeight="1">
      <c r="A254" s="5">
        <v>0</v>
      </c>
      <c r="B254" s="6" t="s">
        <v>1791</v>
      </c>
      <c r="C254" s="7">
        <v>1597</v>
      </c>
      <c r="D254" s="8" t="s">
        <v>1792</v>
      </c>
      <c r="E254" s="8" t="s">
        <v>1793</v>
      </c>
      <c r="F254" s="8" t="s">
        <v>1794</v>
      </c>
      <c r="G254" s="6" t="s">
        <v>90</v>
      </c>
      <c r="H254" s="6" t="s">
        <v>39</v>
      </c>
      <c r="I254" s="8" t="s">
        <v>69</v>
      </c>
      <c r="J254" s="9">
        <v>1</v>
      </c>
      <c r="K254" s="9">
        <v>232</v>
      </c>
      <c r="L254" s="9">
        <v>2026</v>
      </c>
      <c r="M254" s="8" t="s">
        <v>1795</v>
      </c>
      <c r="N254" s="8" t="s">
        <v>42</v>
      </c>
      <c r="O254" s="8" t="s">
        <v>169</v>
      </c>
      <c r="P254" s="6" t="s">
        <v>44</v>
      </c>
      <c r="Q254" s="8" t="s">
        <v>45</v>
      </c>
      <c r="R254" s="10" t="s">
        <v>1796</v>
      </c>
      <c r="S254" s="11" t="s">
        <v>1106</v>
      </c>
      <c r="T254" s="6"/>
      <c r="U254" s="24" t="str">
        <f>HYPERLINK("https://media.infra-m.ru/2215/2215430/cover/2215430.jpg", "Обложка")</f>
        <v>Обложка</v>
      </c>
      <c r="V254" s="24" t="str">
        <f>HYPERLINK("https://znanium.ru/catalog/product/2180051", "Ознакомиться")</f>
        <v>Ознакомиться</v>
      </c>
      <c r="W254" s="8" t="s">
        <v>1797</v>
      </c>
      <c r="X254" s="6"/>
      <c r="Y254" s="6" t="s">
        <v>30</v>
      </c>
      <c r="Z254" s="6"/>
      <c r="AA254" s="6" t="s">
        <v>1798</v>
      </c>
      <c r="AB254" s="8"/>
    </row>
    <row r="255" spans="1:28" s="4" customFormat="1" ht="51.95" customHeight="1">
      <c r="A255" s="5">
        <v>0</v>
      </c>
      <c r="B255" s="6" t="s">
        <v>1799</v>
      </c>
      <c r="C255" s="7">
        <v>1094.9000000000001</v>
      </c>
      <c r="D255" s="8" t="s">
        <v>1800</v>
      </c>
      <c r="E255" s="8" t="s">
        <v>1801</v>
      </c>
      <c r="F255" s="8" t="s">
        <v>1802</v>
      </c>
      <c r="G255" s="6" t="s">
        <v>38</v>
      </c>
      <c r="H255" s="6" t="s">
        <v>39</v>
      </c>
      <c r="I255" s="8" t="s">
        <v>69</v>
      </c>
      <c r="J255" s="9">
        <v>1</v>
      </c>
      <c r="K255" s="9">
        <v>240</v>
      </c>
      <c r="L255" s="9">
        <v>2021</v>
      </c>
      <c r="M255" s="8" t="s">
        <v>1803</v>
      </c>
      <c r="N255" s="8" t="s">
        <v>42</v>
      </c>
      <c r="O255" s="8" t="s">
        <v>169</v>
      </c>
      <c r="P255" s="6" t="s">
        <v>44</v>
      </c>
      <c r="Q255" s="8" t="s">
        <v>45</v>
      </c>
      <c r="R255" s="10" t="s">
        <v>1796</v>
      </c>
      <c r="S255" s="11" t="s">
        <v>1106</v>
      </c>
      <c r="T255" s="6"/>
      <c r="U255" s="24" t="str">
        <f>HYPERLINK("https://media.infra-m.ru/1254/1254669/cover/1254669.jpg", "Обложка")</f>
        <v>Обложка</v>
      </c>
      <c r="V255" s="24" t="str">
        <f>HYPERLINK("https://znanium.ru/catalog/product/2180051", "Ознакомиться")</f>
        <v>Ознакомиться</v>
      </c>
      <c r="W255" s="8" t="s">
        <v>1797</v>
      </c>
      <c r="X255" s="6"/>
      <c r="Y255" s="6" t="s">
        <v>30</v>
      </c>
      <c r="Z255" s="6"/>
      <c r="AA255" s="6" t="s">
        <v>1518</v>
      </c>
      <c r="AB255" s="8"/>
    </row>
    <row r="256" spans="1:28" s="4" customFormat="1" ht="51.95" customHeight="1">
      <c r="A256" s="5">
        <v>0</v>
      </c>
      <c r="B256" s="6" t="s">
        <v>1804</v>
      </c>
      <c r="C256" s="13">
        <v>490</v>
      </c>
      <c r="D256" s="8" t="s">
        <v>1805</v>
      </c>
      <c r="E256" s="8" t="s">
        <v>1806</v>
      </c>
      <c r="F256" s="8" t="s">
        <v>1794</v>
      </c>
      <c r="G256" s="6" t="s">
        <v>67</v>
      </c>
      <c r="H256" s="6" t="s">
        <v>54</v>
      </c>
      <c r="I256" s="8" t="s">
        <v>40</v>
      </c>
      <c r="J256" s="9">
        <v>1</v>
      </c>
      <c r="K256" s="9">
        <v>72</v>
      </c>
      <c r="L256" s="9">
        <v>2026</v>
      </c>
      <c r="M256" s="8" t="s">
        <v>1807</v>
      </c>
      <c r="N256" s="8" t="s">
        <v>42</v>
      </c>
      <c r="O256" s="8" t="s">
        <v>169</v>
      </c>
      <c r="P256" s="6" t="s">
        <v>44</v>
      </c>
      <c r="Q256" s="8" t="s">
        <v>45</v>
      </c>
      <c r="R256" s="10" t="s">
        <v>1808</v>
      </c>
      <c r="S256" s="11" t="s">
        <v>1809</v>
      </c>
      <c r="T256" s="6"/>
      <c r="U256" s="24" t="str">
        <f>HYPERLINK("https://media.infra-m.ru/2204/2204887/cover/2204887.jpg", "Обложка")</f>
        <v>Обложка</v>
      </c>
      <c r="V256" s="24" t="str">
        <f>HYPERLINK("https://znanium.ru/catalog/product/2204887", "Ознакомиться")</f>
        <v>Ознакомиться</v>
      </c>
      <c r="W256" s="8" t="s">
        <v>1797</v>
      </c>
      <c r="X256" s="6"/>
      <c r="Y256" s="6" t="s">
        <v>30</v>
      </c>
      <c r="Z256" s="6" t="s">
        <v>48</v>
      </c>
      <c r="AA256" s="6" t="s">
        <v>129</v>
      </c>
      <c r="AB256" s="8"/>
    </row>
    <row r="257" spans="1:28" s="4" customFormat="1" ht="51.95" customHeight="1">
      <c r="A257" s="5">
        <v>0</v>
      </c>
      <c r="B257" s="6" t="s">
        <v>1810</v>
      </c>
      <c r="C257" s="7">
        <v>1602</v>
      </c>
      <c r="D257" s="8" t="s">
        <v>1811</v>
      </c>
      <c r="E257" s="8" t="s">
        <v>1812</v>
      </c>
      <c r="F257" s="8" t="s">
        <v>1813</v>
      </c>
      <c r="G257" s="6" t="s">
        <v>90</v>
      </c>
      <c r="H257" s="6" t="s">
        <v>299</v>
      </c>
      <c r="I257" s="8" t="s">
        <v>69</v>
      </c>
      <c r="J257" s="9">
        <v>1</v>
      </c>
      <c r="K257" s="9">
        <v>224</v>
      </c>
      <c r="L257" s="9">
        <v>2026</v>
      </c>
      <c r="M257" s="8" t="s">
        <v>1814</v>
      </c>
      <c r="N257" s="8" t="s">
        <v>42</v>
      </c>
      <c r="O257" s="8" t="s">
        <v>169</v>
      </c>
      <c r="P257" s="6" t="s">
        <v>44</v>
      </c>
      <c r="Q257" s="8" t="s">
        <v>45</v>
      </c>
      <c r="R257" s="10" t="s">
        <v>1815</v>
      </c>
      <c r="S257" s="11" t="s">
        <v>1816</v>
      </c>
      <c r="T257" s="6"/>
      <c r="U257" s="24" t="str">
        <f>HYPERLINK("https://media.infra-m.ru/2225/2225113/cover/2225113.jpg", "Обложка")</f>
        <v>Обложка</v>
      </c>
      <c r="V257" s="24" t="str">
        <f>HYPERLINK("https://znanium.ru/catalog/product/2225113", "Ознакомиться")</f>
        <v>Ознакомиться</v>
      </c>
      <c r="W257" s="8" t="s">
        <v>1817</v>
      </c>
      <c r="X257" s="6"/>
      <c r="Y257" s="6" t="s">
        <v>30</v>
      </c>
      <c r="Z257" s="6"/>
      <c r="AA257" s="6" t="s">
        <v>988</v>
      </c>
      <c r="AB257" s="8"/>
    </row>
    <row r="258" spans="1:28" s="4" customFormat="1" ht="44.1" customHeight="1">
      <c r="A258" s="5">
        <v>0</v>
      </c>
      <c r="B258" s="6" t="s">
        <v>1818</v>
      </c>
      <c r="C258" s="7">
        <v>1160</v>
      </c>
      <c r="D258" s="8" t="s">
        <v>1819</v>
      </c>
      <c r="E258" s="8" t="s">
        <v>1820</v>
      </c>
      <c r="F258" s="8" t="s">
        <v>1821</v>
      </c>
      <c r="G258" s="6" t="s">
        <v>90</v>
      </c>
      <c r="H258" s="6" t="s">
        <v>54</v>
      </c>
      <c r="I258" s="8" t="s">
        <v>40</v>
      </c>
      <c r="J258" s="9">
        <v>1</v>
      </c>
      <c r="K258" s="9">
        <v>207</v>
      </c>
      <c r="L258" s="9">
        <v>2026</v>
      </c>
      <c r="M258" s="8" t="s">
        <v>1822</v>
      </c>
      <c r="N258" s="8" t="s">
        <v>1306</v>
      </c>
      <c r="O258" s="8" t="s">
        <v>1307</v>
      </c>
      <c r="P258" s="6" t="s">
        <v>44</v>
      </c>
      <c r="Q258" s="8" t="s">
        <v>45</v>
      </c>
      <c r="R258" s="10" t="s">
        <v>1823</v>
      </c>
      <c r="S258" s="11"/>
      <c r="T258" s="6"/>
      <c r="U258" s="24" t="str">
        <f>HYPERLINK("https://media.infra-m.ru/2214/2214854/cover/2214854.jpg", "Обложка")</f>
        <v>Обложка</v>
      </c>
      <c r="V258" s="24" t="str">
        <f>HYPERLINK("https://znanium.ru/catalog/product/2214854", "Ознакомиться")</f>
        <v>Ознакомиться</v>
      </c>
      <c r="W258" s="8" t="s">
        <v>180</v>
      </c>
      <c r="X258" s="6"/>
      <c r="Y258" s="6"/>
      <c r="Z258" s="6"/>
      <c r="AA258" s="6" t="s">
        <v>354</v>
      </c>
      <c r="AB258" s="8"/>
    </row>
    <row r="259" spans="1:28" s="4" customFormat="1" ht="51.95" customHeight="1">
      <c r="A259" s="5">
        <v>0</v>
      </c>
      <c r="B259" s="6" t="s">
        <v>1824</v>
      </c>
      <c r="C259" s="7">
        <v>1050</v>
      </c>
      <c r="D259" s="8" t="s">
        <v>1825</v>
      </c>
      <c r="E259" s="8" t="s">
        <v>1826</v>
      </c>
      <c r="F259" s="8" t="s">
        <v>1827</v>
      </c>
      <c r="G259" s="6" t="s">
        <v>90</v>
      </c>
      <c r="H259" s="6" t="s">
        <v>54</v>
      </c>
      <c r="I259" s="8" t="s">
        <v>40</v>
      </c>
      <c r="J259" s="9">
        <v>1</v>
      </c>
      <c r="K259" s="9">
        <v>190</v>
      </c>
      <c r="L259" s="9">
        <v>2026</v>
      </c>
      <c r="M259" s="8" t="s">
        <v>1828</v>
      </c>
      <c r="N259" s="8" t="s">
        <v>56</v>
      </c>
      <c r="O259" s="8" t="s">
        <v>57</v>
      </c>
      <c r="P259" s="6" t="s">
        <v>58</v>
      </c>
      <c r="Q259" s="8" t="s">
        <v>45</v>
      </c>
      <c r="R259" s="10" t="s">
        <v>1829</v>
      </c>
      <c r="S259" s="11" t="s">
        <v>1830</v>
      </c>
      <c r="T259" s="6"/>
      <c r="U259" s="24" t="str">
        <f>HYPERLINK("https://media.infra-m.ru/2220/2220984/cover/2220984.jpg", "Обложка")</f>
        <v>Обложка</v>
      </c>
      <c r="V259" s="24" t="str">
        <f>HYPERLINK("https://znanium.ru/catalog/product/2220984", "Ознакомиться")</f>
        <v>Ознакомиться</v>
      </c>
      <c r="W259" s="8" t="s">
        <v>1831</v>
      </c>
      <c r="X259" s="6"/>
      <c r="Y259" s="6"/>
      <c r="Z259" s="6"/>
      <c r="AA259" s="6" t="s">
        <v>223</v>
      </c>
      <c r="AB259" s="8"/>
    </row>
    <row r="260" spans="1:28" s="4" customFormat="1" ht="51.95" customHeight="1">
      <c r="A260" s="5">
        <v>0</v>
      </c>
      <c r="B260" s="6" t="s">
        <v>1832</v>
      </c>
      <c r="C260" s="7">
        <v>1940</v>
      </c>
      <c r="D260" s="8" t="s">
        <v>1833</v>
      </c>
      <c r="E260" s="8" t="s">
        <v>1834</v>
      </c>
      <c r="F260" s="8" t="s">
        <v>1835</v>
      </c>
      <c r="G260" s="6" t="s">
        <v>90</v>
      </c>
      <c r="H260" s="6" t="s">
        <v>54</v>
      </c>
      <c r="I260" s="8" t="s">
        <v>40</v>
      </c>
      <c r="J260" s="9">
        <v>1</v>
      </c>
      <c r="K260" s="9">
        <v>372</v>
      </c>
      <c r="L260" s="9">
        <v>2026</v>
      </c>
      <c r="M260" s="8" t="s">
        <v>1836</v>
      </c>
      <c r="N260" s="8" t="s">
        <v>56</v>
      </c>
      <c r="O260" s="8" t="s">
        <v>343</v>
      </c>
      <c r="P260" s="6" t="s">
        <v>58</v>
      </c>
      <c r="Q260" s="8" t="s">
        <v>45</v>
      </c>
      <c r="R260" s="10" t="s">
        <v>1837</v>
      </c>
      <c r="S260" s="11" t="s">
        <v>1838</v>
      </c>
      <c r="T260" s="6"/>
      <c r="U260" s="24" t="str">
        <f>HYPERLINK("https://media.infra-m.ru/2215/2215335/cover/2215335.jpg", "Обложка")</f>
        <v>Обложка</v>
      </c>
      <c r="V260" s="24" t="str">
        <f>HYPERLINK("https://znanium.ru/catalog/product/2215335", "Ознакомиться")</f>
        <v>Ознакомиться</v>
      </c>
      <c r="W260" s="8" t="s">
        <v>1839</v>
      </c>
      <c r="X260" s="6"/>
      <c r="Y260" s="6"/>
      <c r="Z260" s="6"/>
      <c r="AA260" s="6" t="s">
        <v>1840</v>
      </c>
      <c r="AB260" s="8"/>
    </row>
    <row r="261" spans="1:28" s="4" customFormat="1" ht="51.95" customHeight="1">
      <c r="A261" s="5">
        <v>0</v>
      </c>
      <c r="B261" s="6" t="s">
        <v>1841</v>
      </c>
      <c r="C261" s="7">
        <v>1990</v>
      </c>
      <c r="D261" s="8" t="s">
        <v>1842</v>
      </c>
      <c r="E261" s="8" t="s">
        <v>1843</v>
      </c>
      <c r="F261" s="8" t="s">
        <v>424</v>
      </c>
      <c r="G261" s="6" t="s">
        <v>90</v>
      </c>
      <c r="H261" s="6" t="s">
        <v>54</v>
      </c>
      <c r="I261" s="8" t="s">
        <v>40</v>
      </c>
      <c r="J261" s="9">
        <v>1</v>
      </c>
      <c r="K261" s="9">
        <v>391</v>
      </c>
      <c r="L261" s="9">
        <v>2025</v>
      </c>
      <c r="M261" s="8" t="s">
        <v>1844</v>
      </c>
      <c r="N261" s="8" t="s">
        <v>42</v>
      </c>
      <c r="O261" s="8" t="s">
        <v>169</v>
      </c>
      <c r="P261" s="6" t="s">
        <v>44</v>
      </c>
      <c r="Q261" s="8" t="s">
        <v>45</v>
      </c>
      <c r="R261" s="10" t="s">
        <v>426</v>
      </c>
      <c r="S261" s="11" t="s">
        <v>1845</v>
      </c>
      <c r="T261" s="6"/>
      <c r="U261" s="24" t="str">
        <f>HYPERLINK("https://media.infra-m.ru/2163/2163869/cover/2163869.jpg", "Обложка")</f>
        <v>Обложка</v>
      </c>
      <c r="V261" s="24" t="str">
        <f>HYPERLINK("https://znanium.ru/catalog/product/2163869", "Ознакомиться")</f>
        <v>Ознакомиться</v>
      </c>
      <c r="W261" s="8" t="s">
        <v>180</v>
      </c>
      <c r="X261" s="6"/>
      <c r="Y261" s="6"/>
      <c r="Z261" s="6" t="s">
        <v>48</v>
      </c>
      <c r="AA261" s="6" t="s">
        <v>231</v>
      </c>
      <c r="AB261" s="8"/>
    </row>
    <row r="262" spans="1:28" s="4" customFormat="1" ht="42" customHeight="1">
      <c r="A262" s="5">
        <v>0</v>
      </c>
      <c r="B262" s="6" t="s">
        <v>1846</v>
      </c>
      <c r="C262" s="13">
        <v>940</v>
      </c>
      <c r="D262" s="8" t="s">
        <v>1847</v>
      </c>
      <c r="E262" s="8" t="s">
        <v>1848</v>
      </c>
      <c r="F262" s="8" t="s">
        <v>1849</v>
      </c>
      <c r="G262" s="6" t="s">
        <v>90</v>
      </c>
      <c r="H262" s="6" t="s">
        <v>68</v>
      </c>
      <c r="I262" s="8" t="s">
        <v>69</v>
      </c>
      <c r="J262" s="9">
        <v>1</v>
      </c>
      <c r="K262" s="9">
        <v>180</v>
      </c>
      <c r="L262" s="9">
        <v>2026</v>
      </c>
      <c r="M262" s="8" t="s">
        <v>1850</v>
      </c>
      <c r="N262" s="8" t="s">
        <v>42</v>
      </c>
      <c r="O262" s="8" t="s">
        <v>243</v>
      </c>
      <c r="P262" s="6" t="s">
        <v>44</v>
      </c>
      <c r="Q262" s="8" t="s">
        <v>45</v>
      </c>
      <c r="R262" s="10" t="s">
        <v>1851</v>
      </c>
      <c r="S262" s="11"/>
      <c r="T262" s="6"/>
      <c r="U262" s="24" t="str">
        <f>HYPERLINK("https://media.infra-m.ru/2220/2220935/cover/2220935.jpg", "Обложка")</f>
        <v>Обложка</v>
      </c>
      <c r="V262" s="24" t="str">
        <f>HYPERLINK("https://znanium.ru/catalog/product/2220935", "Ознакомиться")</f>
        <v>Ознакомиться</v>
      </c>
      <c r="W262" s="8" t="s">
        <v>868</v>
      </c>
      <c r="X262" s="6"/>
      <c r="Y262" s="6"/>
      <c r="Z262" s="6" t="s">
        <v>48</v>
      </c>
      <c r="AA262" s="6" t="s">
        <v>740</v>
      </c>
      <c r="AB262" s="8"/>
    </row>
    <row r="263" spans="1:28" s="4" customFormat="1" ht="51.95" customHeight="1">
      <c r="A263" s="5">
        <v>0</v>
      </c>
      <c r="B263" s="6" t="s">
        <v>1852</v>
      </c>
      <c r="C263" s="7">
        <v>1200</v>
      </c>
      <c r="D263" s="8" t="s">
        <v>1853</v>
      </c>
      <c r="E263" s="8" t="s">
        <v>1854</v>
      </c>
      <c r="F263" s="8" t="s">
        <v>1713</v>
      </c>
      <c r="G263" s="6" t="s">
        <v>90</v>
      </c>
      <c r="H263" s="6" t="s">
        <v>39</v>
      </c>
      <c r="I263" s="8" t="s">
        <v>40</v>
      </c>
      <c r="J263" s="9">
        <v>1</v>
      </c>
      <c r="K263" s="9">
        <v>287</v>
      </c>
      <c r="L263" s="9">
        <v>2023</v>
      </c>
      <c r="M263" s="8" t="s">
        <v>1855</v>
      </c>
      <c r="N263" s="8" t="s">
        <v>42</v>
      </c>
      <c r="O263" s="8" t="s">
        <v>243</v>
      </c>
      <c r="P263" s="6" t="s">
        <v>44</v>
      </c>
      <c r="Q263" s="8" t="s">
        <v>45</v>
      </c>
      <c r="R263" s="10" t="s">
        <v>1856</v>
      </c>
      <c r="S263" s="11" t="s">
        <v>1857</v>
      </c>
      <c r="T263" s="6"/>
      <c r="U263" s="24" t="str">
        <f>HYPERLINK("https://media.infra-m.ru/1873/1873953/cover/1873953.jpg", "Обложка")</f>
        <v>Обложка</v>
      </c>
      <c r="V263" s="24" t="str">
        <f>HYPERLINK("https://znanium.ru/catalog/product/2079927", "Ознакомиться")</f>
        <v>Ознакомиться</v>
      </c>
      <c r="W263" s="8" t="s">
        <v>172</v>
      </c>
      <c r="X263" s="6"/>
      <c r="Y263" s="6"/>
      <c r="Z263" s="6" t="s">
        <v>48</v>
      </c>
      <c r="AA263" s="6" t="s">
        <v>563</v>
      </c>
      <c r="AB263" s="8"/>
    </row>
    <row r="264" spans="1:28" s="4" customFormat="1" ht="51.95" customHeight="1">
      <c r="A264" s="5">
        <v>0</v>
      </c>
      <c r="B264" s="6" t="s">
        <v>1858</v>
      </c>
      <c r="C264" s="13">
        <v>820</v>
      </c>
      <c r="D264" s="8" t="s">
        <v>1859</v>
      </c>
      <c r="E264" s="8" t="s">
        <v>1860</v>
      </c>
      <c r="F264" s="8" t="s">
        <v>1861</v>
      </c>
      <c r="G264" s="6" t="s">
        <v>67</v>
      </c>
      <c r="H264" s="6" t="s">
        <v>982</v>
      </c>
      <c r="I264" s="8" t="s">
        <v>40</v>
      </c>
      <c r="J264" s="9">
        <v>1</v>
      </c>
      <c r="K264" s="9">
        <v>152</v>
      </c>
      <c r="L264" s="9">
        <v>2026</v>
      </c>
      <c r="M264" s="8" t="s">
        <v>1862</v>
      </c>
      <c r="N264" s="8" t="s">
        <v>125</v>
      </c>
      <c r="O264" s="8" t="s">
        <v>126</v>
      </c>
      <c r="P264" s="6" t="s">
        <v>44</v>
      </c>
      <c r="Q264" s="8" t="s">
        <v>45</v>
      </c>
      <c r="R264" s="10" t="s">
        <v>1863</v>
      </c>
      <c r="S264" s="11"/>
      <c r="T264" s="6"/>
      <c r="U264" s="24" t="str">
        <f>HYPERLINK("https://media.infra-m.ru/1845/1845998/cover/1845998.jpg", "Обложка")</f>
        <v>Обложка</v>
      </c>
      <c r="V264" s="24" t="str">
        <f>HYPERLINK("https://znanium.ru/catalog/product/1845998", "Ознакомиться")</f>
        <v>Ознакомиться</v>
      </c>
      <c r="W264" s="8" t="s">
        <v>1864</v>
      </c>
      <c r="X264" s="6" t="s">
        <v>721</v>
      </c>
      <c r="Y264" s="6"/>
      <c r="Z264" s="6" t="s">
        <v>48</v>
      </c>
      <c r="AA264" s="6" t="s">
        <v>62</v>
      </c>
      <c r="AB264" s="8"/>
    </row>
    <row r="265" spans="1:28" s="4" customFormat="1" ht="42" customHeight="1">
      <c r="A265" s="5">
        <v>0</v>
      </c>
      <c r="B265" s="6" t="s">
        <v>1865</v>
      </c>
      <c r="C265" s="13">
        <v>880</v>
      </c>
      <c r="D265" s="8" t="s">
        <v>1866</v>
      </c>
      <c r="E265" s="8" t="s">
        <v>1867</v>
      </c>
      <c r="F265" s="8" t="s">
        <v>1868</v>
      </c>
      <c r="G265" s="6" t="s">
        <v>67</v>
      </c>
      <c r="H265" s="6" t="s">
        <v>982</v>
      </c>
      <c r="I265" s="8" t="s">
        <v>40</v>
      </c>
      <c r="J265" s="9">
        <v>1</v>
      </c>
      <c r="K265" s="9">
        <v>176</v>
      </c>
      <c r="L265" s="9">
        <v>2025</v>
      </c>
      <c r="M265" s="8" t="s">
        <v>1869</v>
      </c>
      <c r="N265" s="8" t="s">
        <v>125</v>
      </c>
      <c r="O265" s="8" t="s">
        <v>126</v>
      </c>
      <c r="P265" s="6" t="s">
        <v>44</v>
      </c>
      <c r="Q265" s="8" t="s">
        <v>45</v>
      </c>
      <c r="R265" s="10" t="s">
        <v>1870</v>
      </c>
      <c r="S265" s="11"/>
      <c r="T265" s="6"/>
      <c r="U265" s="24" t="str">
        <f>HYPERLINK("https://media.infra-m.ru/2192/2192953/cover/2192953.jpg", "Обложка")</f>
        <v>Обложка</v>
      </c>
      <c r="V265" s="24" t="str">
        <f>HYPERLINK("https://znanium.ru/catalog/product/2192953", "Ознакомиться")</f>
        <v>Ознакомиться</v>
      </c>
      <c r="W265" s="8" t="s">
        <v>1864</v>
      </c>
      <c r="X265" s="6" t="s">
        <v>1144</v>
      </c>
      <c r="Y265" s="6"/>
      <c r="Z265" s="6"/>
      <c r="AA265" s="6" t="s">
        <v>84</v>
      </c>
      <c r="AB265" s="8"/>
    </row>
    <row r="266" spans="1:28" s="4" customFormat="1" ht="51.95" customHeight="1">
      <c r="A266" s="5">
        <v>0</v>
      </c>
      <c r="B266" s="6" t="s">
        <v>1871</v>
      </c>
      <c r="C266" s="7">
        <v>1324</v>
      </c>
      <c r="D266" s="8" t="s">
        <v>1872</v>
      </c>
      <c r="E266" s="8" t="s">
        <v>1873</v>
      </c>
      <c r="F266" s="8" t="s">
        <v>298</v>
      </c>
      <c r="G266" s="6" t="s">
        <v>90</v>
      </c>
      <c r="H266" s="6" t="s">
        <v>299</v>
      </c>
      <c r="I266" s="8" t="s">
        <v>40</v>
      </c>
      <c r="J266" s="9">
        <v>1</v>
      </c>
      <c r="K266" s="9">
        <v>240</v>
      </c>
      <c r="L266" s="9">
        <v>2026</v>
      </c>
      <c r="M266" s="8" t="s">
        <v>1874</v>
      </c>
      <c r="N266" s="8" t="s">
        <v>42</v>
      </c>
      <c r="O266" s="8" t="s">
        <v>243</v>
      </c>
      <c r="P266" s="6" t="s">
        <v>44</v>
      </c>
      <c r="Q266" s="8" t="s">
        <v>45</v>
      </c>
      <c r="R266" s="10" t="s">
        <v>1875</v>
      </c>
      <c r="S266" s="11" t="s">
        <v>1876</v>
      </c>
      <c r="T266" s="6"/>
      <c r="U266" s="24" t="str">
        <f>HYPERLINK("https://media.infra-m.ru/2226/2226492/cover/2226492.jpg", "Обложка")</f>
        <v>Обложка</v>
      </c>
      <c r="V266" s="24" t="str">
        <f>HYPERLINK("https://znanium.ru/catalog/product/2180061", "Ознакомиться")</f>
        <v>Ознакомиться</v>
      </c>
      <c r="W266" s="8" t="s">
        <v>303</v>
      </c>
      <c r="X266" s="6"/>
      <c r="Y266" s="6"/>
      <c r="Z266" s="6"/>
      <c r="AA266" s="6" t="s">
        <v>237</v>
      </c>
      <c r="AB266" s="8"/>
    </row>
    <row r="267" spans="1:28" s="4" customFormat="1" ht="51.95" customHeight="1">
      <c r="A267" s="5">
        <v>0</v>
      </c>
      <c r="B267" s="6" t="s">
        <v>1877</v>
      </c>
      <c r="C267" s="7">
        <v>1200</v>
      </c>
      <c r="D267" s="8" t="s">
        <v>1878</v>
      </c>
      <c r="E267" s="8" t="s">
        <v>1879</v>
      </c>
      <c r="F267" s="8" t="s">
        <v>1880</v>
      </c>
      <c r="G267" s="6" t="s">
        <v>90</v>
      </c>
      <c r="H267" s="6" t="s">
        <v>299</v>
      </c>
      <c r="I267" s="8" t="s">
        <v>40</v>
      </c>
      <c r="J267" s="9">
        <v>1</v>
      </c>
      <c r="K267" s="9">
        <v>240</v>
      </c>
      <c r="L267" s="9">
        <v>2025</v>
      </c>
      <c r="M267" s="8" t="s">
        <v>1881</v>
      </c>
      <c r="N267" s="8" t="s">
        <v>42</v>
      </c>
      <c r="O267" s="8" t="s">
        <v>243</v>
      </c>
      <c r="P267" s="6" t="s">
        <v>44</v>
      </c>
      <c r="Q267" s="8" t="s">
        <v>45</v>
      </c>
      <c r="R267" s="10" t="s">
        <v>1882</v>
      </c>
      <c r="S267" s="11" t="s">
        <v>1883</v>
      </c>
      <c r="T267" s="6"/>
      <c r="U267" s="24" t="str">
        <f>HYPERLINK("https://media.infra-m.ru/2180/2180533/cover/2180533.jpg", "Обложка")</f>
        <v>Обложка</v>
      </c>
      <c r="V267" s="24" t="str">
        <f>HYPERLINK("https://znanium.ru/catalog/product/2180533", "Ознакомиться")</f>
        <v>Ознакомиться</v>
      </c>
      <c r="W267" s="8" t="s">
        <v>303</v>
      </c>
      <c r="X267" s="6"/>
      <c r="Y267" s="6"/>
      <c r="Z267" s="6"/>
      <c r="AA267" s="6" t="s">
        <v>304</v>
      </c>
      <c r="AB267" s="8"/>
    </row>
    <row r="268" spans="1:28" s="4" customFormat="1" ht="51.95" customHeight="1">
      <c r="A268" s="5">
        <v>0</v>
      </c>
      <c r="B268" s="6" t="s">
        <v>1884</v>
      </c>
      <c r="C268" s="13">
        <v>600</v>
      </c>
      <c r="D268" s="8" t="s">
        <v>1885</v>
      </c>
      <c r="E268" s="8" t="s">
        <v>1886</v>
      </c>
      <c r="F268" s="8" t="s">
        <v>1887</v>
      </c>
      <c r="G268" s="6" t="s">
        <v>67</v>
      </c>
      <c r="H268" s="6" t="s">
        <v>54</v>
      </c>
      <c r="I268" s="8" t="s">
        <v>40</v>
      </c>
      <c r="J268" s="9">
        <v>1</v>
      </c>
      <c r="K268" s="9">
        <v>105</v>
      </c>
      <c r="L268" s="9">
        <v>2026</v>
      </c>
      <c r="M268" s="8" t="s">
        <v>1888</v>
      </c>
      <c r="N268" s="8" t="s">
        <v>535</v>
      </c>
      <c r="O268" s="8" t="s">
        <v>856</v>
      </c>
      <c r="P268" s="6" t="s">
        <v>1285</v>
      </c>
      <c r="Q268" s="8" t="s">
        <v>45</v>
      </c>
      <c r="R268" s="10" t="s">
        <v>1889</v>
      </c>
      <c r="S268" s="11" t="s">
        <v>1890</v>
      </c>
      <c r="T268" s="6"/>
      <c r="U268" s="24" t="str">
        <f>HYPERLINK("https://media.infra-m.ru/2223/2223185/cover/2223185.jpg", "Обложка")</f>
        <v>Обложка</v>
      </c>
      <c r="V268" s="24" t="str">
        <f>HYPERLINK("https://znanium.ru/catalog/product/2223185", "Ознакомиться")</f>
        <v>Ознакомиться</v>
      </c>
      <c r="W268" s="8" t="s">
        <v>1891</v>
      </c>
      <c r="X268" s="6"/>
      <c r="Y268" s="6" t="s">
        <v>30</v>
      </c>
      <c r="Z268" s="6" t="s">
        <v>48</v>
      </c>
      <c r="AA268" s="6" t="s">
        <v>443</v>
      </c>
      <c r="AB268" s="8"/>
    </row>
    <row r="269" spans="1:28" s="4" customFormat="1" ht="51.95" customHeight="1">
      <c r="A269" s="5">
        <v>0</v>
      </c>
      <c r="B269" s="6" t="s">
        <v>1892</v>
      </c>
      <c r="C269" s="7">
        <v>1230</v>
      </c>
      <c r="D269" s="8" t="s">
        <v>1893</v>
      </c>
      <c r="E269" s="8" t="s">
        <v>1894</v>
      </c>
      <c r="F269" s="8" t="s">
        <v>1895</v>
      </c>
      <c r="G269" s="6" t="s">
        <v>90</v>
      </c>
      <c r="H269" s="6" t="s">
        <v>824</v>
      </c>
      <c r="I269" s="8" t="s">
        <v>40</v>
      </c>
      <c r="J269" s="9">
        <v>1</v>
      </c>
      <c r="K269" s="9">
        <v>224</v>
      </c>
      <c r="L269" s="9">
        <v>2026</v>
      </c>
      <c r="M269" s="8" t="s">
        <v>1896</v>
      </c>
      <c r="N269" s="8" t="s">
        <v>535</v>
      </c>
      <c r="O269" s="8" t="s">
        <v>856</v>
      </c>
      <c r="P269" s="6" t="s">
        <v>44</v>
      </c>
      <c r="Q269" s="8" t="s">
        <v>45</v>
      </c>
      <c r="R269" s="10" t="s">
        <v>1889</v>
      </c>
      <c r="S269" s="11"/>
      <c r="T269" s="6"/>
      <c r="U269" s="24" t="str">
        <f>HYPERLINK("https://media.infra-m.ru/2207/2207565/cover/2207565.jpg", "Обложка")</f>
        <v>Обложка</v>
      </c>
      <c r="V269" s="24" t="str">
        <f>HYPERLINK("https://znanium.ru/catalog/product/2207565", "Ознакомиться")</f>
        <v>Ознакомиться</v>
      </c>
      <c r="W269" s="8" t="s">
        <v>818</v>
      </c>
      <c r="X269" s="6"/>
      <c r="Y269" s="6" t="s">
        <v>30</v>
      </c>
      <c r="Z269" s="6"/>
      <c r="AA269" s="6" t="s">
        <v>766</v>
      </c>
      <c r="AB269" s="8"/>
    </row>
    <row r="270" spans="1:28" s="4" customFormat="1" ht="51.95" customHeight="1">
      <c r="A270" s="5">
        <v>0</v>
      </c>
      <c r="B270" s="6" t="s">
        <v>1897</v>
      </c>
      <c r="C270" s="7">
        <v>1170</v>
      </c>
      <c r="D270" s="8" t="s">
        <v>1898</v>
      </c>
      <c r="E270" s="8" t="s">
        <v>1899</v>
      </c>
      <c r="F270" s="8" t="s">
        <v>1895</v>
      </c>
      <c r="G270" s="6" t="s">
        <v>90</v>
      </c>
      <c r="H270" s="6" t="s">
        <v>824</v>
      </c>
      <c r="I270" s="8" t="s">
        <v>40</v>
      </c>
      <c r="J270" s="9">
        <v>1</v>
      </c>
      <c r="K270" s="9">
        <v>208</v>
      </c>
      <c r="L270" s="9">
        <v>2026</v>
      </c>
      <c r="M270" s="8" t="s">
        <v>1900</v>
      </c>
      <c r="N270" s="8" t="s">
        <v>535</v>
      </c>
      <c r="O270" s="8" t="s">
        <v>856</v>
      </c>
      <c r="P270" s="6" t="s">
        <v>58</v>
      </c>
      <c r="Q270" s="8" t="s">
        <v>45</v>
      </c>
      <c r="R270" s="10" t="s">
        <v>1889</v>
      </c>
      <c r="S270" s="11"/>
      <c r="T270" s="6"/>
      <c r="U270" s="24" t="str">
        <f>HYPERLINK("https://media.infra-m.ru/2207/2207571/cover/2207571.jpg", "Обложка")</f>
        <v>Обложка</v>
      </c>
      <c r="V270" s="24" t="str">
        <f>HYPERLINK("https://znanium.ru/catalog/product/2207571", "Ознакомиться")</f>
        <v>Ознакомиться</v>
      </c>
      <c r="W270" s="8" t="s">
        <v>818</v>
      </c>
      <c r="X270" s="6"/>
      <c r="Y270" s="6"/>
      <c r="Z270" s="6"/>
      <c r="AA270" s="6" t="s">
        <v>766</v>
      </c>
      <c r="AB270" s="8"/>
    </row>
    <row r="271" spans="1:28" s="4" customFormat="1" ht="51.95" customHeight="1">
      <c r="A271" s="5">
        <v>0</v>
      </c>
      <c r="B271" s="6" t="s">
        <v>1901</v>
      </c>
      <c r="C271" s="13">
        <v>960</v>
      </c>
      <c r="D271" s="8" t="s">
        <v>1902</v>
      </c>
      <c r="E271" s="8" t="s">
        <v>1899</v>
      </c>
      <c r="F271" s="8" t="s">
        <v>1903</v>
      </c>
      <c r="G271" s="6" t="s">
        <v>90</v>
      </c>
      <c r="H271" s="6" t="s">
        <v>68</v>
      </c>
      <c r="I271" s="8" t="s">
        <v>69</v>
      </c>
      <c r="J271" s="9">
        <v>1</v>
      </c>
      <c r="K271" s="9">
        <v>174</v>
      </c>
      <c r="L271" s="9">
        <v>2026</v>
      </c>
      <c r="M271" s="8" t="s">
        <v>1904</v>
      </c>
      <c r="N271" s="8" t="s">
        <v>535</v>
      </c>
      <c r="O271" s="8" t="s">
        <v>856</v>
      </c>
      <c r="P271" s="6" t="s">
        <v>44</v>
      </c>
      <c r="Q271" s="8" t="s">
        <v>45</v>
      </c>
      <c r="R271" s="10" t="s">
        <v>1889</v>
      </c>
      <c r="S271" s="11"/>
      <c r="T271" s="6"/>
      <c r="U271" s="24" t="str">
        <f>HYPERLINK("https://media.infra-m.ru/2218/2218398/cover/2218398.jpg", "Обложка")</f>
        <v>Обложка</v>
      </c>
      <c r="V271" s="24" t="str">
        <f>HYPERLINK("https://znanium.ru/catalog/product/2218398", "Ознакомиться")</f>
        <v>Ознакомиться</v>
      </c>
      <c r="W271" s="8"/>
      <c r="X271" s="6"/>
      <c r="Y271" s="6"/>
      <c r="Z271" s="6" t="s">
        <v>48</v>
      </c>
      <c r="AA271" s="6" t="s">
        <v>740</v>
      </c>
      <c r="AB271" s="8"/>
    </row>
    <row r="272" spans="1:28" s="4" customFormat="1" ht="51.95" customHeight="1">
      <c r="A272" s="5">
        <v>0</v>
      </c>
      <c r="B272" s="6" t="s">
        <v>1905</v>
      </c>
      <c r="C272" s="7">
        <v>1160</v>
      </c>
      <c r="D272" s="8" t="s">
        <v>1906</v>
      </c>
      <c r="E272" s="8" t="s">
        <v>1899</v>
      </c>
      <c r="F272" s="8" t="s">
        <v>1907</v>
      </c>
      <c r="G272" s="6" t="s">
        <v>90</v>
      </c>
      <c r="H272" s="6" t="s">
        <v>54</v>
      </c>
      <c r="I272" s="8" t="s">
        <v>40</v>
      </c>
      <c r="J272" s="9">
        <v>1</v>
      </c>
      <c r="K272" s="9">
        <v>222</v>
      </c>
      <c r="L272" s="9">
        <v>2026</v>
      </c>
      <c r="M272" s="8" t="s">
        <v>1908</v>
      </c>
      <c r="N272" s="8" t="s">
        <v>535</v>
      </c>
      <c r="O272" s="8" t="s">
        <v>856</v>
      </c>
      <c r="P272" s="6" t="s">
        <v>44</v>
      </c>
      <c r="Q272" s="8" t="s">
        <v>45</v>
      </c>
      <c r="R272" s="10" t="s">
        <v>1889</v>
      </c>
      <c r="S272" s="11" t="s">
        <v>1909</v>
      </c>
      <c r="T272" s="6"/>
      <c r="U272" s="24" t="str">
        <f>HYPERLINK("https://media.infra-m.ru/2215/2215742/cover/2215742.jpg", "Обложка")</f>
        <v>Обложка</v>
      </c>
      <c r="V272" s="24" t="str">
        <f>HYPERLINK("https://znanium.ru/catalog/product/2215742", "Ознакомиться")</f>
        <v>Ознакомиться</v>
      </c>
      <c r="W272" s="8" t="s">
        <v>180</v>
      </c>
      <c r="X272" s="6"/>
      <c r="Y272" s="6"/>
      <c r="Z272" s="6"/>
      <c r="AA272" s="6" t="s">
        <v>237</v>
      </c>
      <c r="AB272" s="8"/>
    </row>
    <row r="273" spans="1:28" s="4" customFormat="1" ht="51.95" customHeight="1">
      <c r="A273" s="5">
        <v>0</v>
      </c>
      <c r="B273" s="6" t="s">
        <v>1910</v>
      </c>
      <c r="C273" s="13">
        <v>470</v>
      </c>
      <c r="D273" s="8" t="s">
        <v>1911</v>
      </c>
      <c r="E273" s="8" t="s">
        <v>1912</v>
      </c>
      <c r="F273" s="8" t="s">
        <v>1913</v>
      </c>
      <c r="G273" s="6" t="s">
        <v>67</v>
      </c>
      <c r="H273" s="6" t="s">
        <v>54</v>
      </c>
      <c r="I273" s="8" t="s">
        <v>40</v>
      </c>
      <c r="J273" s="9">
        <v>1</v>
      </c>
      <c r="K273" s="9">
        <v>74</v>
      </c>
      <c r="L273" s="9">
        <v>2025</v>
      </c>
      <c r="M273" s="8" t="s">
        <v>1914</v>
      </c>
      <c r="N273" s="8" t="s">
        <v>42</v>
      </c>
      <c r="O273" s="8" t="s">
        <v>553</v>
      </c>
      <c r="P273" s="6" t="s">
        <v>44</v>
      </c>
      <c r="Q273" s="8" t="s">
        <v>45</v>
      </c>
      <c r="R273" s="10" t="s">
        <v>1915</v>
      </c>
      <c r="S273" s="11" t="s">
        <v>1916</v>
      </c>
      <c r="T273" s="6"/>
      <c r="U273" s="24" t="str">
        <f>HYPERLINK("https://media.infra-m.ru/2173/2173436/cover/2173436.jpg", "Обложка")</f>
        <v>Обложка</v>
      </c>
      <c r="V273" s="24" t="str">
        <f>HYPERLINK("https://znanium.ru/catalog/product/2173436", "Ознакомиться")</f>
        <v>Ознакомиться</v>
      </c>
      <c r="W273" s="8" t="s">
        <v>1917</v>
      </c>
      <c r="X273" s="6"/>
      <c r="Y273" s="6"/>
      <c r="Z273" s="6" t="s">
        <v>156</v>
      </c>
      <c r="AA273" s="6" t="s">
        <v>129</v>
      </c>
      <c r="AB273" s="8"/>
    </row>
    <row r="274" spans="1:28" s="4" customFormat="1" ht="51.95" customHeight="1">
      <c r="A274" s="5">
        <v>0</v>
      </c>
      <c r="B274" s="6" t="s">
        <v>1918</v>
      </c>
      <c r="C274" s="13">
        <v>614</v>
      </c>
      <c r="D274" s="8" t="s">
        <v>1919</v>
      </c>
      <c r="E274" s="8" t="s">
        <v>1920</v>
      </c>
      <c r="F274" s="8" t="s">
        <v>1921</v>
      </c>
      <c r="G274" s="6" t="s">
        <v>67</v>
      </c>
      <c r="H274" s="6" t="s">
        <v>54</v>
      </c>
      <c r="I274" s="8" t="s">
        <v>40</v>
      </c>
      <c r="J274" s="9">
        <v>1</v>
      </c>
      <c r="K274" s="9">
        <v>99</v>
      </c>
      <c r="L274" s="9">
        <v>2026</v>
      </c>
      <c r="M274" s="8" t="s">
        <v>1922</v>
      </c>
      <c r="N274" s="8" t="s">
        <v>125</v>
      </c>
      <c r="O274" s="8" t="s">
        <v>432</v>
      </c>
      <c r="P274" s="6" t="s">
        <v>44</v>
      </c>
      <c r="Q274" s="8" t="s">
        <v>45</v>
      </c>
      <c r="R274" s="10" t="s">
        <v>1923</v>
      </c>
      <c r="S274" s="11" t="s">
        <v>1924</v>
      </c>
      <c r="T274" s="6"/>
      <c r="U274" s="24" t="str">
        <f>HYPERLINK("https://media.infra-m.ru/2224/2224129/cover/2224129.jpg", "Обложка")</f>
        <v>Обложка</v>
      </c>
      <c r="V274" s="24" t="str">
        <f>HYPERLINK("https://znanium.ru/catalog/product/2197405", "Ознакомиться")</f>
        <v>Ознакомиться</v>
      </c>
      <c r="W274" s="8" t="s">
        <v>1925</v>
      </c>
      <c r="X274" s="6"/>
      <c r="Y274" s="6"/>
      <c r="Z274" s="6" t="s">
        <v>48</v>
      </c>
      <c r="AA274" s="6" t="s">
        <v>111</v>
      </c>
      <c r="AB274" s="8"/>
    </row>
    <row r="275" spans="1:28" s="4" customFormat="1" ht="51.95" customHeight="1">
      <c r="A275" s="5">
        <v>0</v>
      </c>
      <c r="B275" s="6" t="s">
        <v>1926</v>
      </c>
      <c r="C275" s="13">
        <v>930</v>
      </c>
      <c r="D275" s="8" t="s">
        <v>1927</v>
      </c>
      <c r="E275" s="8" t="s">
        <v>1928</v>
      </c>
      <c r="F275" s="8" t="s">
        <v>1199</v>
      </c>
      <c r="G275" s="6" t="s">
        <v>90</v>
      </c>
      <c r="H275" s="6" t="s">
        <v>54</v>
      </c>
      <c r="I275" s="8" t="s">
        <v>40</v>
      </c>
      <c r="J275" s="9">
        <v>1</v>
      </c>
      <c r="K275" s="9">
        <v>242</v>
      </c>
      <c r="L275" s="9">
        <v>2022</v>
      </c>
      <c r="M275" s="8" t="s">
        <v>1929</v>
      </c>
      <c r="N275" s="8" t="s">
        <v>125</v>
      </c>
      <c r="O275" s="8" t="s">
        <v>432</v>
      </c>
      <c r="P275" s="6" t="s">
        <v>58</v>
      </c>
      <c r="Q275" s="8" t="s">
        <v>45</v>
      </c>
      <c r="R275" s="10" t="s">
        <v>1930</v>
      </c>
      <c r="S275" s="11" t="s">
        <v>1931</v>
      </c>
      <c r="T275" s="6"/>
      <c r="U275" s="24" t="str">
        <f>HYPERLINK("https://media.infra-m.ru/1855/1855470/cover/1855470.jpg", "Обложка")</f>
        <v>Обложка</v>
      </c>
      <c r="V275" s="24" t="str">
        <f>HYPERLINK("https://znanium.ru/catalog/product/1855470", "Ознакомиться")</f>
        <v>Ознакомиться</v>
      </c>
      <c r="W275" s="8" t="s">
        <v>172</v>
      </c>
      <c r="X275" s="6"/>
      <c r="Y275" s="6"/>
      <c r="Z275" s="6"/>
      <c r="AA275" s="6" t="s">
        <v>740</v>
      </c>
      <c r="AB275" s="8" t="s">
        <v>1932</v>
      </c>
    </row>
    <row r="276" spans="1:28" s="4" customFormat="1" ht="42" customHeight="1">
      <c r="A276" s="5">
        <v>0</v>
      </c>
      <c r="B276" s="6" t="s">
        <v>1933</v>
      </c>
      <c r="C276" s="7">
        <v>2160</v>
      </c>
      <c r="D276" s="8" t="s">
        <v>1934</v>
      </c>
      <c r="E276" s="8" t="s">
        <v>1928</v>
      </c>
      <c r="F276" s="8" t="s">
        <v>1349</v>
      </c>
      <c r="G276" s="6" t="s">
        <v>38</v>
      </c>
      <c r="H276" s="6" t="s">
        <v>54</v>
      </c>
      <c r="I276" s="8" t="s">
        <v>79</v>
      </c>
      <c r="J276" s="9">
        <v>1</v>
      </c>
      <c r="K276" s="9">
        <v>459</v>
      </c>
      <c r="L276" s="9">
        <v>2024</v>
      </c>
      <c r="M276" s="8" t="s">
        <v>1935</v>
      </c>
      <c r="N276" s="8" t="s">
        <v>125</v>
      </c>
      <c r="O276" s="8" t="s">
        <v>432</v>
      </c>
      <c r="P276" s="6" t="s">
        <v>58</v>
      </c>
      <c r="Q276" s="8" t="s">
        <v>45</v>
      </c>
      <c r="R276" s="10" t="s">
        <v>1930</v>
      </c>
      <c r="S276" s="11"/>
      <c r="T276" s="6"/>
      <c r="U276" s="24" t="str">
        <f>HYPERLINK("https://media.infra-m.ru/1905/1905753/cover/1905753.jpg", "Обложка")</f>
        <v>Обложка</v>
      </c>
      <c r="V276" s="24" t="str">
        <f>HYPERLINK("https://znanium.ru/catalog/product/1905753", "Ознакомиться")</f>
        <v>Ознакомиться</v>
      </c>
      <c r="W276" s="8" t="s">
        <v>82</v>
      </c>
      <c r="X276" s="6"/>
      <c r="Y276" s="6"/>
      <c r="Z276" s="6"/>
      <c r="AA276" s="6" t="s">
        <v>354</v>
      </c>
      <c r="AB276" s="8"/>
    </row>
    <row r="277" spans="1:28" s="4" customFormat="1" ht="51.95" customHeight="1">
      <c r="A277" s="5">
        <v>0</v>
      </c>
      <c r="B277" s="6" t="s">
        <v>1936</v>
      </c>
      <c r="C277" s="7">
        <v>1454</v>
      </c>
      <c r="D277" s="8" t="s">
        <v>1937</v>
      </c>
      <c r="E277" s="8" t="s">
        <v>1938</v>
      </c>
      <c r="F277" s="8" t="s">
        <v>1939</v>
      </c>
      <c r="G277" s="6" t="s">
        <v>90</v>
      </c>
      <c r="H277" s="6" t="s">
        <v>54</v>
      </c>
      <c r="I277" s="8" t="s">
        <v>40</v>
      </c>
      <c r="J277" s="9">
        <v>1</v>
      </c>
      <c r="K277" s="9">
        <v>278</v>
      </c>
      <c r="L277" s="9">
        <v>2026</v>
      </c>
      <c r="M277" s="8" t="s">
        <v>1940</v>
      </c>
      <c r="N277" s="8" t="s">
        <v>42</v>
      </c>
      <c r="O277" s="8" t="s">
        <v>169</v>
      </c>
      <c r="P277" s="6" t="s">
        <v>44</v>
      </c>
      <c r="Q277" s="8" t="s">
        <v>45</v>
      </c>
      <c r="R277" s="10" t="s">
        <v>1941</v>
      </c>
      <c r="S277" s="11" t="s">
        <v>1942</v>
      </c>
      <c r="T277" s="6"/>
      <c r="U277" s="24" t="str">
        <f>HYPERLINK("https://media.infra-m.ru/2215/2215825/cover/2215825.jpg", "Обложка")</f>
        <v>Обложка</v>
      </c>
      <c r="V277" s="24" t="str">
        <f>HYPERLINK("https://znanium.ru/catalog/product/2213010", "Ознакомиться")</f>
        <v>Ознакомиться</v>
      </c>
      <c r="W277" s="8" t="s">
        <v>1943</v>
      </c>
      <c r="X277" s="6"/>
      <c r="Y277" s="6" t="s">
        <v>30</v>
      </c>
      <c r="Z277" s="6"/>
      <c r="AA277" s="6" t="s">
        <v>111</v>
      </c>
      <c r="AB277" s="8"/>
    </row>
    <row r="278" spans="1:28" s="4" customFormat="1" ht="44.1" customHeight="1">
      <c r="A278" s="5">
        <v>0</v>
      </c>
      <c r="B278" s="6" t="s">
        <v>1944</v>
      </c>
      <c r="C278" s="7">
        <v>1420</v>
      </c>
      <c r="D278" s="8" t="s">
        <v>1945</v>
      </c>
      <c r="E278" s="8" t="s">
        <v>1946</v>
      </c>
      <c r="F278" s="8" t="s">
        <v>1947</v>
      </c>
      <c r="G278" s="6" t="s">
        <v>90</v>
      </c>
      <c r="H278" s="6" t="s">
        <v>54</v>
      </c>
      <c r="I278" s="8" t="s">
        <v>40</v>
      </c>
      <c r="J278" s="9">
        <v>1</v>
      </c>
      <c r="K278" s="9">
        <v>272</v>
      </c>
      <c r="L278" s="9">
        <v>2026</v>
      </c>
      <c r="M278" s="8" t="s">
        <v>1948</v>
      </c>
      <c r="N278" s="8" t="s">
        <v>1306</v>
      </c>
      <c r="O278" s="8" t="s">
        <v>1307</v>
      </c>
      <c r="P278" s="6" t="s">
        <v>44</v>
      </c>
      <c r="Q278" s="8" t="s">
        <v>45</v>
      </c>
      <c r="R278" s="10" t="s">
        <v>1949</v>
      </c>
      <c r="S278" s="11"/>
      <c r="T278" s="6"/>
      <c r="U278" s="24" t="str">
        <f>HYPERLINK("https://media.infra-m.ru/2215/2215336/cover/2215336.jpg", "Обложка")</f>
        <v>Обложка</v>
      </c>
      <c r="V278" s="24" t="str">
        <f>HYPERLINK("https://znanium.ru/catalog/product/2215336", "Ознакомиться")</f>
        <v>Ознакомиться</v>
      </c>
      <c r="W278" s="8" t="s">
        <v>1950</v>
      </c>
      <c r="X278" s="6"/>
      <c r="Y278" s="6"/>
      <c r="Z278" s="6" t="s">
        <v>48</v>
      </c>
      <c r="AA278" s="6" t="s">
        <v>354</v>
      </c>
      <c r="AB278" s="8"/>
    </row>
    <row r="279" spans="1:28" s="4" customFormat="1" ht="51.95" customHeight="1">
      <c r="A279" s="5">
        <v>0</v>
      </c>
      <c r="B279" s="6" t="s">
        <v>1951</v>
      </c>
      <c r="C279" s="7">
        <v>1164</v>
      </c>
      <c r="D279" s="8" t="s">
        <v>1952</v>
      </c>
      <c r="E279" s="8" t="s">
        <v>1953</v>
      </c>
      <c r="F279" s="8" t="s">
        <v>1954</v>
      </c>
      <c r="G279" s="6" t="s">
        <v>90</v>
      </c>
      <c r="H279" s="6" t="s">
        <v>54</v>
      </c>
      <c r="I279" s="8" t="s">
        <v>40</v>
      </c>
      <c r="J279" s="9">
        <v>1</v>
      </c>
      <c r="K279" s="9">
        <v>223</v>
      </c>
      <c r="L279" s="9">
        <v>2026</v>
      </c>
      <c r="M279" s="8" t="s">
        <v>1955</v>
      </c>
      <c r="N279" s="8" t="s">
        <v>1306</v>
      </c>
      <c r="O279" s="8" t="s">
        <v>1307</v>
      </c>
      <c r="P279" s="6" t="s">
        <v>44</v>
      </c>
      <c r="Q279" s="8" t="s">
        <v>45</v>
      </c>
      <c r="R279" s="10" t="s">
        <v>1956</v>
      </c>
      <c r="S279" s="11" t="s">
        <v>1957</v>
      </c>
      <c r="T279" s="6"/>
      <c r="U279" s="24" t="str">
        <f>HYPERLINK("https://media.infra-m.ru/2216/2216828/cover/2216828.jpg", "Обложка")</f>
        <v>Обложка</v>
      </c>
      <c r="V279" s="24" t="str">
        <f>HYPERLINK("https://znanium.ru/catalog/product/2096934", "Ознакомиться")</f>
        <v>Ознакомиться</v>
      </c>
      <c r="W279" s="8" t="s">
        <v>1958</v>
      </c>
      <c r="X279" s="6"/>
      <c r="Y279" s="6"/>
      <c r="Z279" s="6"/>
      <c r="AA279" s="6" t="s">
        <v>500</v>
      </c>
      <c r="AB279" s="8"/>
    </row>
    <row r="280" spans="1:28" s="4" customFormat="1" ht="51.95" customHeight="1">
      <c r="A280" s="5">
        <v>0</v>
      </c>
      <c r="B280" s="6" t="s">
        <v>1959</v>
      </c>
      <c r="C280" s="7">
        <v>2900</v>
      </c>
      <c r="D280" s="8" t="s">
        <v>1960</v>
      </c>
      <c r="E280" s="8" t="s">
        <v>1961</v>
      </c>
      <c r="F280" s="8" t="s">
        <v>1962</v>
      </c>
      <c r="G280" s="6" t="s">
        <v>38</v>
      </c>
      <c r="H280" s="6" t="s">
        <v>134</v>
      </c>
      <c r="I280" s="8" t="s">
        <v>40</v>
      </c>
      <c r="J280" s="9">
        <v>1</v>
      </c>
      <c r="K280" s="9">
        <v>661</v>
      </c>
      <c r="L280" s="9">
        <v>2025</v>
      </c>
      <c r="M280" s="8" t="s">
        <v>1963</v>
      </c>
      <c r="N280" s="8" t="s">
        <v>56</v>
      </c>
      <c r="O280" s="8" t="s">
        <v>807</v>
      </c>
      <c r="P280" s="6" t="s">
        <v>58</v>
      </c>
      <c r="Q280" s="8" t="s">
        <v>45</v>
      </c>
      <c r="R280" s="10" t="s">
        <v>1964</v>
      </c>
      <c r="S280" s="11" t="s">
        <v>1965</v>
      </c>
      <c r="T280" s="6" t="s">
        <v>118</v>
      </c>
      <c r="U280" s="24" t="str">
        <f>HYPERLINK("https://media.infra-m.ru/2182/2182619/cover/2182619.jpg", "Обложка")</f>
        <v>Обложка</v>
      </c>
      <c r="V280" s="24" t="str">
        <f>HYPERLINK("https://znanium.ru/catalog/product/2182619", "Ознакомиться")</f>
        <v>Ознакомиться</v>
      </c>
      <c r="W280" s="8" t="s">
        <v>94</v>
      </c>
      <c r="X280" s="6"/>
      <c r="Y280" s="6"/>
      <c r="Z280" s="6" t="s">
        <v>48</v>
      </c>
      <c r="AA280" s="6" t="s">
        <v>111</v>
      </c>
      <c r="AB280" s="8"/>
    </row>
    <row r="281" spans="1:28" s="4" customFormat="1" ht="51.95" customHeight="1">
      <c r="A281" s="5">
        <v>0</v>
      </c>
      <c r="B281" s="6" t="s">
        <v>1966</v>
      </c>
      <c r="C281" s="13">
        <v>770</v>
      </c>
      <c r="D281" s="8" t="s">
        <v>1967</v>
      </c>
      <c r="E281" s="8" t="s">
        <v>1968</v>
      </c>
      <c r="F281" s="8" t="s">
        <v>1969</v>
      </c>
      <c r="G281" s="6" t="s">
        <v>90</v>
      </c>
      <c r="H281" s="6" t="s">
        <v>54</v>
      </c>
      <c r="I281" s="8" t="s">
        <v>40</v>
      </c>
      <c r="J281" s="9">
        <v>1</v>
      </c>
      <c r="K281" s="9">
        <v>153</v>
      </c>
      <c r="L281" s="9">
        <v>2025</v>
      </c>
      <c r="M281" s="8" t="s">
        <v>1970</v>
      </c>
      <c r="N281" s="8" t="s">
        <v>42</v>
      </c>
      <c r="O281" s="8" t="s">
        <v>187</v>
      </c>
      <c r="P281" s="6" t="s">
        <v>44</v>
      </c>
      <c r="Q281" s="8" t="s">
        <v>45</v>
      </c>
      <c r="R281" s="10" t="s">
        <v>1971</v>
      </c>
      <c r="S281" s="11" t="s">
        <v>1972</v>
      </c>
      <c r="T281" s="6" t="s">
        <v>118</v>
      </c>
      <c r="U281" s="24" t="str">
        <f>HYPERLINK("https://media.infra-m.ru/2172/2172775/cover/2172775.jpg", "Обложка")</f>
        <v>Обложка</v>
      </c>
      <c r="V281" s="24" t="str">
        <f>HYPERLINK("https://znanium.ru/catalog/product/2172775", "Ознакомиться")</f>
        <v>Ознакомиться</v>
      </c>
      <c r="W281" s="8"/>
      <c r="X281" s="6"/>
      <c r="Y281" s="6"/>
      <c r="Z281" s="6"/>
      <c r="AA281" s="6" t="s">
        <v>563</v>
      </c>
      <c r="AB281" s="8"/>
    </row>
    <row r="282" spans="1:28" s="4" customFormat="1" ht="51.95" customHeight="1">
      <c r="A282" s="5">
        <v>0</v>
      </c>
      <c r="B282" s="6" t="s">
        <v>1973</v>
      </c>
      <c r="C282" s="13">
        <v>350</v>
      </c>
      <c r="D282" s="8" t="s">
        <v>1974</v>
      </c>
      <c r="E282" s="8" t="s">
        <v>1975</v>
      </c>
      <c r="F282" s="8" t="s">
        <v>1969</v>
      </c>
      <c r="G282" s="6" t="s">
        <v>67</v>
      </c>
      <c r="H282" s="6" t="s">
        <v>54</v>
      </c>
      <c r="I282" s="8" t="s">
        <v>40</v>
      </c>
      <c r="J282" s="9">
        <v>1</v>
      </c>
      <c r="K282" s="9">
        <v>152</v>
      </c>
      <c r="L282" s="9">
        <v>2018</v>
      </c>
      <c r="M282" s="8" t="s">
        <v>1976</v>
      </c>
      <c r="N282" s="8" t="s">
        <v>42</v>
      </c>
      <c r="O282" s="8" t="s">
        <v>187</v>
      </c>
      <c r="P282" s="6" t="s">
        <v>44</v>
      </c>
      <c r="Q282" s="8" t="s">
        <v>45</v>
      </c>
      <c r="R282" s="10" t="s">
        <v>1971</v>
      </c>
      <c r="S282" s="11" t="s">
        <v>1972</v>
      </c>
      <c r="T282" s="6" t="s">
        <v>118</v>
      </c>
      <c r="U282" s="24" t="str">
        <f>HYPERLINK("https://media.infra-m.ru/0933/0933879/cover/933879.jpg", "Обложка")</f>
        <v>Обложка</v>
      </c>
      <c r="V282" s="24" t="str">
        <f>HYPERLINK("https://znanium.ru/catalog/product/2172775", "Ознакомиться")</f>
        <v>Ознакомиться</v>
      </c>
      <c r="W282" s="8"/>
      <c r="X282" s="6"/>
      <c r="Y282" s="6"/>
      <c r="Z282" s="6"/>
      <c r="AA282" s="6" t="s">
        <v>181</v>
      </c>
      <c r="AB282" s="8"/>
    </row>
    <row r="283" spans="1:28" s="4" customFormat="1" ht="51.95" customHeight="1">
      <c r="A283" s="5">
        <v>0</v>
      </c>
      <c r="B283" s="6" t="s">
        <v>1977</v>
      </c>
      <c r="C283" s="13">
        <v>980</v>
      </c>
      <c r="D283" s="8" t="s">
        <v>1978</v>
      </c>
      <c r="E283" s="8" t="s">
        <v>1979</v>
      </c>
      <c r="F283" s="8" t="s">
        <v>1980</v>
      </c>
      <c r="G283" s="6" t="s">
        <v>90</v>
      </c>
      <c r="H283" s="6" t="s">
        <v>54</v>
      </c>
      <c r="I283" s="8" t="s">
        <v>40</v>
      </c>
      <c r="J283" s="9">
        <v>1</v>
      </c>
      <c r="K283" s="9">
        <v>208</v>
      </c>
      <c r="L283" s="9">
        <v>2024</v>
      </c>
      <c r="M283" s="8" t="s">
        <v>1981</v>
      </c>
      <c r="N283" s="8" t="s">
        <v>125</v>
      </c>
      <c r="O283" s="8" t="s">
        <v>1380</v>
      </c>
      <c r="P283" s="6" t="s">
        <v>44</v>
      </c>
      <c r="Q283" s="8" t="s">
        <v>45</v>
      </c>
      <c r="R283" s="10" t="s">
        <v>1982</v>
      </c>
      <c r="S283" s="11" t="s">
        <v>1983</v>
      </c>
      <c r="T283" s="6"/>
      <c r="U283" s="24" t="str">
        <f>HYPERLINK("https://media.infra-m.ru/2081/2081088/cover/2081088.jpg", "Обложка")</f>
        <v>Обложка</v>
      </c>
      <c r="V283" s="24" t="str">
        <f>HYPERLINK("https://znanium.ru/catalog/product/2081088", "Ознакомиться")</f>
        <v>Ознакомиться</v>
      </c>
      <c r="W283" s="8" t="s">
        <v>1984</v>
      </c>
      <c r="X283" s="6"/>
      <c r="Y283" s="6"/>
      <c r="Z283" s="6"/>
      <c r="AA283" s="6" t="s">
        <v>740</v>
      </c>
      <c r="AB283" s="8" t="s">
        <v>401</v>
      </c>
    </row>
    <row r="284" spans="1:28" s="4" customFormat="1" ht="51.95" customHeight="1">
      <c r="A284" s="5">
        <v>0</v>
      </c>
      <c r="B284" s="6" t="s">
        <v>1985</v>
      </c>
      <c r="C284" s="7">
        <v>1204</v>
      </c>
      <c r="D284" s="8" t="s">
        <v>1986</v>
      </c>
      <c r="E284" s="8" t="s">
        <v>1987</v>
      </c>
      <c r="F284" s="8" t="s">
        <v>1988</v>
      </c>
      <c r="G284" s="6" t="s">
        <v>90</v>
      </c>
      <c r="H284" s="6" t="s">
        <v>54</v>
      </c>
      <c r="I284" s="8" t="s">
        <v>40</v>
      </c>
      <c r="J284" s="9">
        <v>1</v>
      </c>
      <c r="K284" s="9">
        <v>219</v>
      </c>
      <c r="L284" s="9">
        <v>2026</v>
      </c>
      <c r="M284" s="8" t="s">
        <v>1989</v>
      </c>
      <c r="N284" s="8" t="s">
        <v>42</v>
      </c>
      <c r="O284" s="8" t="s">
        <v>169</v>
      </c>
      <c r="P284" s="6" t="s">
        <v>44</v>
      </c>
      <c r="Q284" s="8" t="s">
        <v>45</v>
      </c>
      <c r="R284" s="10" t="s">
        <v>1990</v>
      </c>
      <c r="S284" s="11" t="s">
        <v>1991</v>
      </c>
      <c r="T284" s="6"/>
      <c r="U284" s="24" t="str">
        <f>HYPERLINK("https://media.infra-m.ru/2192/2192483/cover/2192483.jpg", "Обложка")</f>
        <v>Обложка</v>
      </c>
      <c r="V284" s="24" t="str">
        <f>HYPERLINK("https://znanium.ru/catalog/product/1854247", "Ознакомиться")</f>
        <v>Ознакомиться</v>
      </c>
      <c r="W284" s="8" t="s">
        <v>1992</v>
      </c>
      <c r="X284" s="6"/>
      <c r="Y284" s="6"/>
      <c r="Z284" s="6"/>
      <c r="AA284" s="6" t="s">
        <v>740</v>
      </c>
      <c r="AB284" s="8"/>
    </row>
    <row r="285" spans="1:28" s="4" customFormat="1" ht="42" customHeight="1">
      <c r="A285" s="5">
        <v>0</v>
      </c>
      <c r="B285" s="6" t="s">
        <v>1993</v>
      </c>
      <c r="C285" s="7">
        <v>1960</v>
      </c>
      <c r="D285" s="8" t="s">
        <v>1994</v>
      </c>
      <c r="E285" s="8" t="s">
        <v>1995</v>
      </c>
      <c r="F285" s="8" t="s">
        <v>1996</v>
      </c>
      <c r="G285" s="6" t="s">
        <v>90</v>
      </c>
      <c r="H285" s="6" t="s">
        <v>54</v>
      </c>
      <c r="I285" s="8" t="s">
        <v>1997</v>
      </c>
      <c r="J285" s="9">
        <v>1</v>
      </c>
      <c r="K285" s="9">
        <v>392</v>
      </c>
      <c r="L285" s="9">
        <v>2025</v>
      </c>
      <c r="M285" s="8" t="s">
        <v>1998</v>
      </c>
      <c r="N285" s="8" t="s">
        <v>535</v>
      </c>
      <c r="O285" s="8" t="s">
        <v>1048</v>
      </c>
      <c r="P285" s="6" t="s">
        <v>44</v>
      </c>
      <c r="Q285" s="8" t="s">
        <v>45</v>
      </c>
      <c r="R285" s="10" t="s">
        <v>1999</v>
      </c>
      <c r="S285" s="11"/>
      <c r="T285" s="6"/>
      <c r="U285" s="24" t="str">
        <f>HYPERLINK("https://media.infra-m.ru/2162/2162988/cover/2162988.jpg", "Обложка")</f>
        <v>Обложка</v>
      </c>
      <c r="V285" s="24" t="str">
        <f>HYPERLINK("https://znanium.ru/catalog/product/2162988", "Ознакомиться")</f>
        <v>Ознакомиться</v>
      </c>
      <c r="W285" s="8" t="s">
        <v>2000</v>
      </c>
      <c r="X285" s="6" t="s">
        <v>367</v>
      </c>
      <c r="Y285" s="6"/>
      <c r="Z285" s="6" t="s">
        <v>48</v>
      </c>
      <c r="AA285" s="6" t="s">
        <v>84</v>
      </c>
      <c r="AB285" s="8"/>
    </row>
    <row r="286" spans="1:28" s="4" customFormat="1" ht="51.95" customHeight="1">
      <c r="A286" s="5">
        <v>0</v>
      </c>
      <c r="B286" s="6" t="s">
        <v>2001</v>
      </c>
      <c r="C286" s="7">
        <v>2024</v>
      </c>
      <c r="D286" s="8" t="s">
        <v>2002</v>
      </c>
      <c r="E286" s="8" t="s">
        <v>2003</v>
      </c>
      <c r="F286" s="8" t="s">
        <v>2004</v>
      </c>
      <c r="G286" s="6" t="s">
        <v>90</v>
      </c>
      <c r="H286" s="6" t="s">
        <v>39</v>
      </c>
      <c r="I286" s="8" t="s">
        <v>40</v>
      </c>
      <c r="J286" s="9">
        <v>1</v>
      </c>
      <c r="K286" s="9">
        <v>368</v>
      </c>
      <c r="L286" s="9">
        <v>2026</v>
      </c>
      <c r="M286" s="8" t="s">
        <v>2005</v>
      </c>
      <c r="N286" s="8" t="s">
        <v>42</v>
      </c>
      <c r="O286" s="8" t="s">
        <v>43</v>
      </c>
      <c r="P286" s="6" t="s">
        <v>44</v>
      </c>
      <c r="Q286" s="8" t="s">
        <v>45</v>
      </c>
      <c r="R286" s="10" t="s">
        <v>2006</v>
      </c>
      <c r="S286" s="11" t="s">
        <v>276</v>
      </c>
      <c r="T286" s="6"/>
      <c r="U286" s="24" t="str">
        <f>HYPERLINK("https://media.infra-m.ru/2212/2212449/cover/2212449.jpg", "Обложка")</f>
        <v>Обложка</v>
      </c>
      <c r="V286" s="24" t="str">
        <f>HYPERLINK("https://znanium.ru/catalog/product/2181286", "Ознакомиться")</f>
        <v>Ознакомиться</v>
      </c>
      <c r="W286" s="8" t="s">
        <v>2007</v>
      </c>
      <c r="X286" s="6"/>
      <c r="Y286" s="6"/>
      <c r="Z286" s="6"/>
      <c r="AA286" s="6" t="s">
        <v>2008</v>
      </c>
      <c r="AB286" s="8"/>
    </row>
    <row r="287" spans="1:28" s="4" customFormat="1" ht="51.95" customHeight="1">
      <c r="A287" s="5">
        <v>0</v>
      </c>
      <c r="B287" s="6" t="s">
        <v>2009</v>
      </c>
      <c r="C287" s="13">
        <v>734</v>
      </c>
      <c r="D287" s="8" t="s">
        <v>2010</v>
      </c>
      <c r="E287" s="8" t="s">
        <v>2011</v>
      </c>
      <c r="F287" s="8" t="s">
        <v>2012</v>
      </c>
      <c r="G287" s="6" t="s">
        <v>38</v>
      </c>
      <c r="H287" s="6" t="s">
        <v>54</v>
      </c>
      <c r="I287" s="8" t="s">
        <v>40</v>
      </c>
      <c r="J287" s="9">
        <v>1</v>
      </c>
      <c r="K287" s="9">
        <v>142</v>
      </c>
      <c r="L287" s="9">
        <v>2025</v>
      </c>
      <c r="M287" s="8" t="s">
        <v>2013</v>
      </c>
      <c r="N287" s="8" t="s">
        <v>535</v>
      </c>
      <c r="O287" s="8" t="s">
        <v>1048</v>
      </c>
      <c r="P287" s="6" t="s">
        <v>44</v>
      </c>
      <c r="Q287" s="8" t="s">
        <v>45</v>
      </c>
      <c r="R287" s="10" t="s">
        <v>2014</v>
      </c>
      <c r="S287" s="11" t="s">
        <v>2015</v>
      </c>
      <c r="T287" s="6"/>
      <c r="U287" s="24" t="str">
        <f>HYPERLINK("https://media.infra-m.ru/2197/2197821/cover/2197821.jpg", "Обложка")</f>
        <v>Обложка</v>
      </c>
      <c r="V287" s="24" t="str">
        <f>HYPERLINK("https://znanium.ru/catalog/product/1898986", "Ознакомиться")</f>
        <v>Ознакомиться</v>
      </c>
      <c r="W287" s="8" t="s">
        <v>172</v>
      </c>
      <c r="X287" s="6"/>
      <c r="Y287" s="6"/>
      <c r="Z287" s="6" t="s">
        <v>48</v>
      </c>
      <c r="AA287" s="6" t="s">
        <v>223</v>
      </c>
      <c r="AB287" s="8"/>
    </row>
    <row r="288" spans="1:28" s="4" customFormat="1" ht="51.95" customHeight="1">
      <c r="A288" s="5">
        <v>0</v>
      </c>
      <c r="B288" s="6" t="s">
        <v>2016</v>
      </c>
      <c r="C288" s="7">
        <v>1160</v>
      </c>
      <c r="D288" s="8" t="s">
        <v>2017</v>
      </c>
      <c r="E288" s="8" t="s">
        <v>2018</v>
      </c>
      <c r="F288" s="8" t="s">
        <v>2019</v>
      </c>
      <c r="G288" s="6" t="s">
        <v>90</v>
      </c>
      <c r="H288" s="6" t="s">
        <v>54</v>
      </c>
      <c r="I288" s="8" t="s">
        <v>40</v>
      </c>
      <c r="J288" s="9">
        <v>1</v>
      </c>
      <c r="K288" s="9">
        <v>252</v>
      </c>
      <c r="L288" s="9">
        <v>2024</v>
      </c>
      <c r="M288" s="8" t="s">
        <v>2020</v>
      </c>
      <c r="N288" s="8" t="s">
        <v>42</v>
      </c>
      <c r="O288" s="8" t="s">
        <v>319</v>
      </c>
      <c r="P288" s="6" t="s">
        <v>58</v>
      </c>
      <c r="Q288" s="8" t="s">
        <v>45</v>
      </c>
      <c r="R288" s="10" t="s">
        <v>2021</v>
      </c>
      <c r="S288" s="11" t="s">
        <v>2022</v>
      </c>
      <c r="T288" s="6" t="s">
        <v>118</v>
      </c>
      <c r="U288" s="24" t="str">
        <f>HYPERLINK("https://media.infra-m.ru/2126/2126824/cover/2126824.jpg", "Обложка")</f>
        <v>Обложка</v>
      </c>
      <c r="V288" s="24" t="str">
        <f>HYPERLINK("https://znanium.ru/catalog/product/2126824", "Ознакомиться")</f>
        <v>Ознакомиться</v>
      </c>
      <c r="W288" s="8" t="s">
        <v>293</v>
      </c>
      <c r="X288" s="6"/>
      <c r="Y288" s="6"/>
      <c r="Z288" s="6"/>
      <c r="AA288" s="6" t="s">
        <v>573</v>
      </c>
      <c r="AB288" s="8"/>
    </row>
    <row r="289" spans="1:28" s="4" customFormat="1" ht="51.95" customHeight="1">
      <c r="A289" s="5">
        <v>0</v>
      </c>
      <c r="B289" s="6" t="s">
        <v>2023</v>
      </c>
      <c r="C289" s="7">
        <v>2994</v>
      </c>
      <c r="D289" s="8" t="s">
        <v>2024</v>
      </c>
      <c r="E289" s="8" t="s">
        <v>2025</v>
      </c>
      <c r="F289" s="8" t="s">
        <v>2026</v>
      </c>
      <c r="G289" s="6" t="s">
        <v>90</v>
      </c>
      <c r="H289" s="6" t="s">
        <v>54</v>
      </c>
      <c r="I289" s="8" t="s">
        <v>40</v>
      </c>
      <c r="J289" s="9">
        <v>1</v>
      </c>
      <c r="K289" s="9">
        <v>641</v>
      </c>
      <c r="L289" s="9">
        <v>2025</v>
      </c>
      <c r="M289" s="8" t="s">
        <v>2027</v>
      </c>
      <c r="N289" s="8" t="s">
        <v>42</v>
      </c>
      <c r="O289" s="8" t="s">
        <v>553</v>
      </c>
      <c r="P289" s="6" t="s">
        <v>58</v>
      </c>
      <c r="Q289" s="8" t="s">
        <v>45</v>
      </c>
      <c r="R289" s="10" t="s">
        <v>2028</v>
      </c>
      <c r="S289" s="11" t="s">
        <v>2029</v>
      </c>
      <c r="T289" s="6"/>
      <c r="U289" s="24" t="str">
        <f>HYPERLINK("https://media.infra-m.ru/2208/2208738/cover/2208738.jpg", "Обложка")</f>
        <v>Обложка</v>
      </c>
      <c r="V289" s="24" t="str">
        <f>HYPERLINK("https://znanium.ru/catalog/product/2170974", "Ознакомиться")</f>
        <v>Ознакомиться</v>
      </c>
      <c r="W289" s="8" t="s">
        <v>2030</v>
      </c>
      <c r="X289" s="6"/>
      <c r="Y289" s="6"/>
      <c r="Z289" s="6"/>
      <c r="AA289" s="6" t="s">
        <v>223</v>
      </c>
      <c r="AB289" s="8" t="s">
        <v>869</v>
      </c>
    </row>
    <row r="290" spans="1:28" s="4" customFormat="1" ht="51.95" customHeight="1">
      <c r="A290" s="5">
        <v>0</v>
      </c>
      <c r="B290" s="6" t="s">
        <v>2031</v>
      </c>
      <c r="C290" s="7">
        <v>1170</v>
      </c>
      <c r="D290" s="8" t="s">
        <v>2032</v>
      </c>
      <c r="E290" s="8" t="s">
        <v>2033</v>
      </c>
      <c r="F290" s="8" t="s">
        <v>2034</v>
      </c>
      <c r="G290" s="6" t="s">
        <v>90</v>
      </c>
      <c r="H290" s="6" t="s">
        <v>54</v>
      </c>
      <c r="I290" s="8" t="s">
        <v>40</v>
      </c>
      <c r="J290" s="9">
        <v>1</v>
      </c>
      <c r="K290" s="9">
        <v>224</v>
      </c>
      <c r="L290" s="9">
        <v>2026</v>
      </c>
      <c r="M290" s="8" t="s">
        <v>2035</v>
      </c>
      <c r="N290" s="8" t="s">
        <v>1306</v>
      </c>
      <c r="O290" s="8" t="s">
        <v>1307</v>
      </c>
      <c r="P290" s="6" t="s">
        <v>1285</v>
      </c>
      <c r="Q290" s="8" t="s">
        <v>45</v>
      </c>
      <c r="R290" s="10" t="s">
        <v>2036</v>
      </c>
      <c r="S290" s="11" t="s">
        <v>2037</v>
      </c>
      <c r="T290" s="6"/>
      <c r="U290" s="24" t="str">
        <f>HYPERLINK("https://media.infra-m.ru/2212/2212415/cover/2212415.jpg", "Обложка")</f>
        <v>Обложка</v>
      </c>
      <c r="V290" s="24" t="str">
        <f>HYPERLINK("https://znanium.ru/catalog/product/2212415", "Ознакомиться")</f>
        <v>Ознакомиться</v>
      </c>
      <c r="W290" s="8" t="s">
        <v>1560</v>
      </c>
      <c r="X290" s="6"/>
      <c r="Y290" s="6"/>
      <c r="Z290" s="6" t="s">
        <v>48</v>
      </c>
      <c r="AA290" s="6" t="s">
        <v>111</v>
      </c>
      <c r="AB290" s="8"/>
    </row>
    <row r="291" spans="1:28" s="4" customFormat="1" ht="51.95" customHeight="1">
      <c r="A291" s="5">
        <v>0</v>
      </c>
      <c r="B291" s="6" t="s">
        <v>2038</v>
      </c>
      <c r="C291" s="7">
        <v>1070</v>
      </c>
      <c r="D291" s="8" t="s">
        <v>2039</v>
      </c>
      <c r="E291" s="8" t="s">
        <v>2040</v>
      </c>
      <c r="F291" s="8" t="s">
        <v>2041</v>
      </c>
      <c r="G291" s="6" t="s">
        <v>90</v>
      </c>
      <c r="H291" s="6" t="s">
        <v>54</v>
      </c>
      <c r="I291" s="8" t="s">
        <v>40</v>
      </c>
      <c r="J291" s="9">
        <v>1</v>
      </c>
      <c r="K291" s="9">
        <v>194</v>
      </c>
      <c r="L291" s="9">
        <v>2026</v>
      </c>
      <c r="M291" s="8" t="s">
        <v>2042</v>
      </c>
      <c r="N291" s="8" t="s">
        <v>125</v>
      </c>
      <c r="O291" s="8" t="s">
        <v>352</v>
      </c>
      <c r="P291" s="6" t="s">
        <v>44</v>
      </c>
      <c r="Q291" s="8" t="s">
        <v>45</v>
      </c>
      <c r="R291" s="10" t="s">
        <v>1658</v>
      </c>
      <c r="S291" s="11" t="s">
        <v>2043</v>
      </c>
      <c r="T291" s="6"/>
      <c r="U291" s="24" t="str">
        <f>HYPERLINK("https://media.infra-m.ru/2225/2225218/cover/2225218.jpg", "Обложка")</f>
        <v>Обложка</v>
      </c>
      <c r="V291" s="24" t="str">
        <f>HYPERLINK("https://znanium.ru/catalog/product/2225218", "Ознакомиться")</f>
        <v>Ознакомиться</v>
      </c>
      <c r="W291" s="8" t="s">
        <v>2044</v>
      </c>
      <c r="X291" s="6"/>
      <c r="Y291" s="6"/>
      <c r="Z291" s="6"/>
      <c r="AA291" s="6" t="s">
        <v>500</v>
      </c>
      <c r="AB291" s="8"/>
    </row>
    <row r="292" spans="1:28" s="4" customFormat="1" ht="51.95" customHeight="1">
      <c r="A292" s="5">
        <v>0</v>
      </c>
      <c r="B292" s="6" t="s">
        <v>2045</v>
      </c>
      <c r="C292" s="7">
        <v>2204</v>
      </c>
      <c r="D292" s="8" t="s">
        <v>2046</v>
      </c>
      <c r="E292" s="8" t="s">
        <v>2047</v>
      </c>
      <c r="F292" s="8" t="s">
        <v>2048</v>
      </c>
      <c r="G292" s="6" t="s">
        <v>38</v>
      </c>
      <c r="H292" s="6" t="s">
        <v>54</v>
      </c>
      <c r="I292" s="8" t="s">
        <v>40</v>
      </c>
      <c r="J292" s="9">
        <v>1</v>
      </c>
      <c r="K292" s="9">
        <v>424</v>
      </c>
      <c r="L292" s="9">
        <v>2026</v>
      </c>
      <c r="M292" s="8" t="s">
        <v>2049</v>
      </c>
      <c r="N292" s="8" t="s">
        <v>42</v>
      </c>
      <c r="O292" s="8" t="s">
        <v>319</v>
      </c>
      <c r="P292" s="6" t="s">
        <v>44</v>
      </c>
      <c r="Q292" s="8" t="s">
        <v>45</v>
      </c>
      <c r="R292" s="10" t="s">
        <v>2050</v>
      </c>
      <c r="S292" s="11" t="s">
        <v>2051</v>
      </c>
      <c r="T292" s="6"/>
      <c r="U292" s="24" t="str">
        <f>HYPERLINK("https://media.infra-m.ru/2218/2218363/cover/2218363.jpg", "Обложка")</f>
        <v>Обложка</v>
      </c>
      <c r="V292" s="24" t="str">
        <f>HYPERLINK("https://znanium.ru/catalog/product/2106267", "Ознакомиться")</f>
        <v>Ознакомиться</v>
      </c>
      <c r="W292" s="8" t="s">
        <v>293</v>
      </c>
      <c r="X292" s="6"/>
      <c r="Y292" s="6"/>
      <c r="Z292" s="6" t="s">
        <v>48</v>
      </c>
      <c r="AA292" s="6" t="s">
        <v>129</v>
      </c>
      <c r="AB292" s="8" t="s">
        <v>401</v>
      </c>
    </row>
    <row r="293" spans="1:28" s="4" customFormat="1" ht="51.95" customHeight="1">
      <c r="A293" s="5">
        <v>0</v>
      </c>
      <c r="B293" s="6" t="s">
        <v>2052</v>
      </c>
      <c r="C293" s="7">
        <v>1270</v>
      </c>
      <c r="D293" s="8" t="s">
        <v>2053</v>
      </c>
      <c r="E293" s="8" t="s">
        <v>2054</v>
      </c>
      <c r="F293" s="8" t="s">
        <v>2019</v>
      </c>
      <c r="G293" s="6" t="s">
        <v>90</v>
      </c>
      <c r="H293" s="6" t="s">
        <v>54</v>
      </c>
      <c r="I293" s="8" t="s">
        <v>40</v>
      </c>
      <c r="J293" s="9">
        <v>1</v>
      </c>
      <c r="K293" s="9">
        <v>237</v>
      </c>
      <c r="L293" s="9">
        <v>2025</v>
      </c>
      <c r="M293" s="8" t="s">
        <v>2055</v>
      </c>
      <c r="N293" s="8" t="s">
        <v>42</v>
      </c>
      <c r="O293" s="8" t="s">
        <v>319</v>
      </c>
      <c r="P293" s="6" t="s">
        <v>44</v>
      </c>
      <c r="Q293" s="8" t="s">
        <v>45</v>
      </c>
      <c r="R293" s="10" t="s">
        <v>336</v>
      </c>
      <c r="S293" s="11" t="s">
        <v>337</v>
      </c>
      <c r="T293" s="6" t="s">
        <v>118</v>
      </c>
      <c r="U293" s="24" t="str">
        <f>HYPERLINK("https://media.infra-m.ru/2203/2203812/cover/2203812.jpg", "Обложка")</f>
        <v>Обложка</v>
      </c>
      <c r="V293" s="24" t="str">
        <f>HYPERLINK("https://znanium.ru/catalog/product/2203812", "Ознакомиться")</f>
        <v>Ознакомиться</v>
      </c>
      <c r="W293" s="8" t="s">
        <v>293</v>
      </c>
      <c r="X293" s="6"/>
      <c r="Y293" s="6"/>
      <c r="Z293" s="6" t="s">
        <v>207</v>
      </c>
      <c r="AA293" s="6" t="s">
        <v>111</v>
      </c>
      <c r="AB293" s="8" t="s">
        <v>2056</v>
      </c>
    </row>
    <row r="294" spans="1:28" s="4" customFormat="1" ht="42" customHeight="1">
      <c r="A294" s="5">
        <v>0</v>
      </c>
      <c r="B294" s="6" t="s">
        <v>2057</v>
      </c>
      <c r="C294" s="7">
        <v>1150</v>
      </c>
      <c r="D294" s="8" t="s">
        <v>2058</v>
      </c>
      <c r="E294" s="8" t="s">
        <v>2059</v>
      </c>
      <c r="F294" s="8" t="s">
        <v>1656</v>
      </c>
      <c r="G294" s="6" t="s">
        <v>90</v>
      </c>
      <c r="H294" s="6" t="s">
        <v>54</v>
      </c>
      <c r="I294" s="8" t="s">
        <v>40</v>
      </c>
      <c r="J294" s="9">
        <v>1</v>
      </c>
      <c r="K294" s="9">
        <v>221</v>
      </c>
      <c r="L294" s="9">
        <v>2025</v>
      </c>
      <c r="M294" s="8" t="s">
        <v>2060</v>
      </c>
      <c r="N294" s="8" t="s">
        <v>125</v>
      </c>
      <c r="O294" s="8" t="s">
        <v>1630</v>
      </c>
      <c r="P294" s="6" t="s">
        <v>44</v>
      </c>
      <c r="Q294" s="8" t="s">
        <v>45</v>
      </c>
      <c r="R294" s="10" t="s">
        <v>1658</v>
      </c>
      <c r="S294" s="11"/>
      <c r="T294" s="6"/>
      <c r="U294" s="24" t="str">
        <f>HYPERLINK("https://media.infra-m.ru/2195/2195014/cover/2195014.jpg", "Обложка")</f>
        <v>Обложка</v>
      </c>
      <c r="V294" s="24" t="str">
        <f>HYPERLINK("https://znanium.ru/catalog/product/2195014", "Ознакомиться")</f>
        <v>Ознакомиться</v>
      </c>
      <c r="W294" s="8" t="s">
        <v>1660</v>
      </c>
      <c r="X294" s="6"/>
      <c r="Y294" s="6"/>
      <c r="Z294" s="6" t="s">
        <v>48</v>
      </c>
      <c r="AA294" s="6" t="s">
        <v>49</v>
      </c>
      <c r="AB294" s="8"/>
    </row>
    <row r="295" spans="1:28" s="4" customFormat="1" ht="51.95" customHeight="1">
      <c r="A295" s="5">
        <v>0</v>
      </c>
      <c r="B295" s="6" t="s">
        <v>2061</v>
      </c>
      <c r="C295" s="13">
        <v>930</v>
      </c>
      <c r="D295" s="8" t="s">
        <v>2062</v>
      </c>
      <c r="E295" s="8" t="s">
        <v>2063</v>
      </c>
      <c r="F295" s="8" t="s">
        <v>1656</v>
      </c>
      <c r="G295" s="6" t="s">
        <v>90</v>
      </c>
      <c r="H295" s="6" t="s">
        <v>54</v>
      </c>
      <c r="I295" s="8" t="s">
        <v>40</v>
      </c>
      <c r="J295" s="9">
        <v>1</v>
      </c>
      <c r="K295" s="9">
        <v>221</v>
      </c>
      <c r="L295" s="9">
        <v>2022</v>
      </c>
      <c r="M295" s="8" t="s">
        <v>2064</v>
      </c>
      <c r="N295" s="8" t="s">
        <v>125</v>
      </c>
      <c r="O295" s="8" t="s">
        <v>1630</v>
      </c>
      <c r="P295" s="6" t="s">
        <v>44</v>
      </c>
      <c r="Q295" s="8" t="s">
        <v>45</v>
      </c>
      <c r="R295" s="10" t="s">
        <v>1658</v>
      </c>
      <c r="S295" s="11" t="s">
        <v>2065</v>
      </c>
      <c r="T295" s="6"/>
      <c r="U295" s="24" t="str">
        <f>HYPERLINK("https://media.infra-m.ru/1873/1873262/cover/1873262.jpg", "Обложка")</f>
        <v>Обложка</v>
      </c>
      <c r="V295" s="24" t="str">
        <f>HYPERLINK("https://znanium.ru/catalog/product/2195014", "Ознакомиться")</f>
        <v>Ознакомиться</v>
      </c>
      <c r="W295" s="8" t="s">
        <v>1660</v>
      </c>
      <c r="X295" s="6"/>
      <c r="Y295" s="6"/>
      <c r="Z295" s="6" t="s">
        <v>48</v>
      </c>
      <c r="AA295" s="6" t="s">
        <v>129</v>
      </c>
      <c r="AB295" s="8"/>
    </row>
    <row r="296" spans="1:28" s="4" customFormat="1" ht="51.95" customHeight="1">
      <c r="A296" s="5">
        <v>0</v>
      </c>
      <c r="B296" s="6" t="s">
        <v>2066</v>
      </c>
      <c r="C296" s="7">
        <v>1030</v>
      </c>
      <c r="D296" s="8" t="s">
        <v>2067</v>
      </c>
      <c r="E296" s="8" t="s">
        <v>2068</v>
      </c>
      <c r="F296" s="8" t="s">
        <v>2069</v>
      </c>
      <c r="G296" s="6" t="s">
        <v>90</v>
      </c>
      <c r="H296" s="6" t="s">
        <v>54</v>
      </c>
      <c r="I296" s="8" t="s">
        <v>40</v>
      </c>
      <c r="J296" s="9">
        <v>1</v>
      </c>
      <c r="K296" s="9">
        <v>223</v>
      </c>
      <c r="L296" s="9">
        <v>2024</v>
      </c>
      <c r="M296" s="8" t="s">
        <v>2070</v>
      </c>
      <c r="N296" s="8" t="s">
        <v>535</v>
      </c>
      <c r="O296" s="8" t="s">
        <v>544</v>
      </c>
      <c r="P296" s="6" t="s">
        <v>44</v>
      </c>
      <c r="Q296" s="8" t="s">
        <v>45</v>
      </c>
      <c r="R296" s="10" t="s">
        <v>2071</v>
      </c>
      <c r="S296" s="11" t="s">
        <v>2072</v>
      </c>
      <c r="T296" s="6" t="s">
        <v>118</v>
      </c>
      <c r="U296" s="24" t="str">
        <f>HYPERLINK("https://media.infra-m.ru/2096/2096929/cover/2096929.jpg", "Обложка")</f>
        <v>Обложка</v>
      </c>
      <c r="V296" s="24" t="str">
        <f>HYPERLINK("https://znanium.ru/catalog/product/2096929", "Ознакомиться")</f>
        <v>Ознакомиться</v>
      </c>
      <c r="W296" s="8" t="s">
        <v>2073</v>
      </c>
      <c r="X296" s="6"/>
      <c r="Y296" s="6"/>
      <c r="Z296" s="6" t="s">
        <v>48</v>
      </c>
      <c r="AA296" s="6" t="s">
        <v>129</v>
      </c>
      <c r="AB296" s="8"/>
    </row>
    <row r="297" spans="1:28" s="4" customFormat="1" ht="51.95" customHeight="1">
      <c r="A297" s="5">
        <v>0</v>
      </c>
      <c r="B297" s="6" t="s">
        <v>2074</v>
      </c>
      <c r="C297" s="13">
        <v>464</v>
      </c>
      <c r="D297" s="8" t="s">
        <v>2075</v>
      </c>
      <c r="E297" s="8" t="s">
        <v>2076</v>
      </c>
      <c r="F297" s="8" t="s">
        <v>2077</v>
      </c>
      <c r="G297" s="6" t="s">
        <v>67</v>
      </c>
      <c r="H297" s="6" t="s">
        <v>54</v>
      </c>
      <c r="I297" s="8" t="s">
        <v>40</v>
      </c>
      <c r="J297" s="9">
        <v>1</v>
      </c>
      <c r="K297" s="9">
        <v>83</v>
      </c>
      <c r="L297" s="9">
        <v>2026</v>
      </c>
      <c r="M297" s="8" t="s">
        <v>2078</v>
      </c>
      <c r="N297" s="8" t="s">
        <v>1306</v>
      </c>
      <c r="O297" s="8" t="s">
        <v>1307</v>
      </c>
      <c r="P297" s="6" t="s">
        <v>44</v>
      </c>
      <c r="Q297" s="8" t="s">
        <v>45</v>
      </c>
      <c r="R297" s="10" t="s">
        <v>2079</v>
      </c>
      <c r="S297" s="11" t="s">
        <v>2080</v>
      </c>
      <c r="T297" s="6"/>
      <c r="U297" s="24" t="str">
        <f>HYPERLINK("https://media.infra-m.ru/2211/2211955/cover/2211955.jpg", "Обложка")</f>
        <v>Обложка</v>
      </c>
      <c r="V297" s="24" t="str">
        <f>HYPERLINK("https://znanium.ru/catalog/product/2179075", "Ознакомиться")</f>
        <v>Ознакомиться</v>
      </c>
      <c r="W297" s="8" t="s">
        <v>1560</v>
      </c>
      <c r="X297" s="6"/>
      <c r="Y297" s="6"/>
      <c r="Z297" s="6" t="s">
        <v>48</v>
      </c>
      <c r="AA297" s="6" t="s">
        <v>223</v>
      </c>
      <c r="AB297" s="8"/>
    </row>
    <row r="298" spans="1:28" s="4" customFormat="1" ht="51.95" customHeight="1">
      <c r="A298" s="5">
        <v>0</v>
      </c>
      <c r="B298" s="6" t="s">
        <v>2081</v>
      </c>
      <c r="C298" s="13">
        <v>830</v>
      </c>
      <c r="D298" s="8" t="s">
        <v>2082</v>
      </c>
      <c r="E298" s="8" t="s">
        <v>2083</v>
      </c>
      <c r="F298" s="8" t="s">
        <v>2084</v>
      </c>
      <c r="G298" s="6" t="s">
        <v>90</v>
      </c>
      <c r="H298" s="6" t="s">
        <v>54</v>
      </c>
      <c r="I298" s="8" t="s">
        <v>40</v>
      </c>
      <c r="J298" s="9">
        <v>1</v>
      </c>
      <c r="K298" s="9">
        <v>160</v>
      </c>
      <c r="L298" s="9">
        <v>2025</v>
      </c>
      <c r="M298" s="8" t="s">
        <v>2085</v>
      </c>
      <c r="N298" s="8" t="s">
        <v>1306</v>
      </c>
      <c r="O298" s="8" t="s">
        <v>1307</v>
      </c>
      <c r="P298" s="6" t="s">
        <v>1285</v>
      </c>
      <c r="Q298" s="8" t="s">
        <v>45</v>
      </c>
      <c r="R298" s="10" t="s">
        <v>1465</v>
      </c>
      <c r="S298" s="11" t="s">
        <v>1466</v>
      </c>
      <c r="T298" s="6"/>
      <c r="U298" s="24" t="str">
        <f>HYPERLINK("https://media.infra-m.ru/2161/2161719/cover/2161719.jpg", "Обложка")</f>
        <v>Обложка</v>
      </c>
      <c r="V298" s="24" t="str">
        <f>HYPERLINK("https://znanium.ru/catalog/product/2161719", "Ознакомиться")</f>
        <v>Ознакомиться</v>
      </c>
      <c r="W298" s="8" t="s">
        <v>1560</v>
      </c>
      <c r="X298" s="6"/>
      <c r="Y298" s="6"/>
      <c r="Z298" s="6" t="s">
        <v>207</v>
      </c>
      <c r="AA298" s="6" t="s">
        <v>330</v>
      </c>
      <c r="AB298" s="8"/>
    </row>
    <row r="299" spans="1:28" s="4" customFormat="1" ht="51.95" customHeight="1">
      <c r="A299" s="5">
        <v>0</v>
      </c>
      <c r="B299" s="6" t="s">
        <v>2086</v>
      </c>
      <c r="C299" s="13">
        <v>800</v>
      </c>
      <c r="D299" s="8" t="s">
        <v>2087</v>
      </c>
      <c r="E299" s="8" t="s">
        <v>2088</v>
      </c>
      <c r="F299" s="8" t="s">
        <v>2089</v>
      </c>
      <c r="G299" s="6" t="s">
        <v>67</v>
      </c>
      <c r="H299" s="6" t="s">
        <v>54</v>
      </c>
      <c r="I299" s="8" t="s">
        <v>40</v>
      </c>
      <c r="J299" s="9">
        <v>1</v>
      </c>
      <c r="K299" s="9">
        <v>148</v>
      </c>
      <c r="L299" s="9">
        <v>2026</v>
      </c>
      <c r="M299" s="8" t="s">
        <v>2090</v>
      </c>
      <c r="N299" s="8" t="s">
        <v>1306</v>
      </c>
      <c r="O299" s="8" t="s">
        <v>1307</v>
      </c>
      <c r="P299" s="6" t="s">
        <v>153</v>
      </c>
      <c r="Q299" s="8" t="s">
        <v>45</v>
      </c>
      <c r="R299" s="10" t="s">
        <v>2079</v>
      </c>
      <c r="S299" s="11" t="s">
        <v>2091</v>
      </c>
      <c r="T299" s="6"/>
      <c r="U299" s="24" t="str">
        <f>HYPERLINK("https://media.infra-m.ru/2216/2216871/cover/2216871.jpg", "Обложка")</f>
        <v>Обложка</v>
      </c>
      <c r="V299" s="24" t="str">
        <f>HYPERLINK("https://znanium.ru/catalog/product/2216871", "Ознакомиться")</f>
        <v>Ознакомиться</v>
      </c>
      <c r="W299" s="8" t="s">
        <v>2092</v>
      </c>
      <c r="X299" s="6"/>
      <c r="Y299" s="6"/>
      <c r="Z299" s="6" t="s">
        <v>48</v>
      </c>
      <c r="AA299" s="6" t="s">
        <v>2093</v>
      </c>
      <c r="AB299" s="8"/>
    </row>
    <row r="300" spans="1:28" s="4" customFormat="1" ht="51.95" customHeight="1">
      <c r="A300" s="5">
        <v>0</v>
      </c>
      <c r="B300" s="6" t="s">
        <v>2094</v>
      </c>
      <c r="C300" s="13">
        <v>380</v>
      </c>
      <c r="D300" s="8" t="s">
        <v>2095</v>
      </c>
      <c r="E300" s="8" t="s">
        <v>2096</v>
      </c>
      <c r="F300" s="8" t="s">
        <v>2089</v>
      </c>
      <c r="G300" s="6" t="s">
        <v>67</v>
      </c>
      <c r="H300" s="6" t="s">
        <v>54</v>
      </c>
      <c r="I300" s="8" t="s">
        <v>40</v>
      </c>
      <c r="J300" s="9">
        <v>1</v>
      </c>
      <c r="K300" s="9">
        <v>109</v>
      </c>
      <c r="L300" s="9">
        <v>2020</v>
      </c>
      <c r="M300" s="8" t="s">
        <v>2097</v>
      </c>
      <c r="N300" s="8" t="s">
        <v>1306</v>
      </c>
      <c r="O300" s="8" t="s">
        <v>1307</v>
      </c>
      <c r="P300" s="6" t="s">
        <v>153</v>
      </c>
      <c r="Q300" s="8" t="s">
        <v>45</v>
      </c>
      <c r="R300" s="10" t="s">
        <v>2079</v>
      </c>
      <c r="S300" s="11" t="s">
        <v>2098</v>
      </c>
      <c r="T300" s="6"/>
      <c r="U300" s="24" t="str">
        <f>HYPERLINK("https://media.infra-m.ru/1052/1052202/cover/1052202.jpg", "Обложка")</f>
        <v>Обложка</v>
      </c>
      <c r="V300" s="24" t="str">
        <f>HYPERLINK("https://znanium.ru/catalog/product/2216871", "Ознакомиться")</f>
        <v>Ознакомиться</v>
      </c>
      <c r="W300" s="8" t="s">
        <v>2092</v>
      </c>
      <c r="X300" s="6"/>
      <c r="Y300" s="6"/>
      <c r="Z300" s="6" t="s">
        <v>48</v>
      </c>
      <c r="AA300" s="6" t="s">
        <v>129</v>
      </c>
      <c r="AB300" s="8"/>
    </row>
    <row r="301" spans="1:28" s="4" customFormat="1" ht="51.95" customHeight="1">
      <c r="A301" s="5">
        <v>0</v>
      </c>
      <c r="B301" s="6" t="s">
        <v>2099</v>
      </c>
      <c r="C301" s="7">
        <v>2090</v>
      </c>
      <c r="D301" s="8" t="s">
        <v>2100</v>
      </c>
      <c r="E301" s="8" t="s">
        <v>2101</v>
      </c>
      <c r="F301" s="8" t="s">
        <v>2102</v>
      </c>
      <c r="G301" s="6" t="s">
        <v>90</v>
      </c>
      <c r="H301" s="6" t="s">
        <v>54</v>
      </c>
      <c r="I301" s="8" t="s">
        <v>40</v>
      </c>
      <c r="J301" s="9">
        <v>1</v>
      </c>
      <c r="K301" s="9">
        <v>461</v>
      </c>
      <c r="L301" s="9">
        <v>2023</v>
      </c>
      <c r="M301" s="8" t="s">
        <v>2103</v>
      </c>
      <c r="N301" s="8" t="s">
        <v>125</v>
      </c>
      <c r="O301" s="8" t="s">
        <v>126</v>
      </c>
      <c r="P301" s="6" t="s">
        <v>58</v>
      </c>
      <c r="Q301" s="8" t="s">
        <v>45</v>
      </c>
      <c r="R301" s="10" t="s">
        <v>2104</v>
      </c>
      <c r="S301" s="11" t="s">
        <v>2105</v>
      </c>
      <c r="T301" s="6"/>
      <c r="U301" s="24" t="str">
        <f>HYPERLINK("https://media.infra-m.ru/1907/1907039/cover/1907039.jpg", "Обложка")</f>
        <v>Обложка</v>
      </c>
      <c r="V301" s="24" t="str">
        <f>HYPERLINK("https://znanium.ru/catalog/product/1907039", "Ознакомиться")</f>
        <v>Ознакомиться</v>
      </c>
      <c r="W301" s="8" t="s">
        <v>386</v>
      </c>
      <c r="X301" s="6"/>
      <c r="Y301" s="6"/>
      <c r="Z301" s="6" t="s">
        <v>48</v>
      </c>
      <c r="AA301" s="6" t="s">
        <v>740</v>
      </c>
      <c r="AB301" s="8"/>
    </row>
    <row r="302" spans="1:28" s="4" customFormat="1" ht="51.95" customHeight="1">
      <c r="A302" s="5">
        <v>0</v>
      </c>
      <c r="B302" s="6" t="s">
        <v>2106</v>
      </c>
      <c r="C302" s="7">
        <v>1400</v>
      </c>
      <c r="D302" s="8" t="s">
        <v>2107</v>
      </c>
      <c r="E302" s="8" t="s">
        <v>2108</v>
      </c>
      <c r="F302" s="8" t="s">
        <v>2109</v>
      </c>
      <c r="G302" s="6" t="s">
        <v>90</v>
      </c>
      <c r="H302" s="6" t="s">
        <v>54</v>
      </c>
      <c r="I302" s="8" t="s">
        <v>40</v>
      </c>
      <c r="J302" s="9">
        <v>1</v>
      </c>
      <c r="K302" s="9">
        <v>270</v>
      </c>
      <c r="L302" s="9">
        <v>2026</v>
      </c>
      <c r="M302" s="8" t="s">
        <v>2110</v>
      </c>
      <c r="N302" s="8" t="s">
        <v>42</v>
      </c>
      <c r="O302" s="8" t="s">
        <v>187</v>
      </c>
      <c r="P302" s="6" t="s">
        <v>58</v>
      </c>
      <c r="Q302" s="8" t="s">
        <v>45</v>
      </c>
      <c r="R302" s="10" t="s">
        <v>2111</v>
      </c>
      <c r="S302" s="11" t="s">
        <v>2112</v>
      </c>
      <c r="T302" s="6" t="s">
        <v>118</v>
      </c>
      <c r="U302" s="24" t="str">
        <f>HYPERLINK("https://media.infra-m.ru/2215/2215365/cover/2215365.jpg", "Обложка")</f>
        <v>Обложка</v>
      </c>
      <c r="V302" s="24" t="str">
        <f>HYPERLINK("https://znanium.ru/catalog/product/2215365", "Ознакомиться")</f>
        <v>Ознакомиться</v>
      </c>
      <c r="W302" s="8" t="s">
        <v>180</v>
      </c>
      <c r="X302" s="6"/>
      <c r="Y302" s="6" t="s">
        <v>30</v>
      </c>
      <c r="Z302" s="6"/>
      <c r="AA302" s="6" t="s">
        <v>147</v>
      </c>
      <c r="AB302" s="8"/>
    </row>
    <row r="303" spans="1:28" s="4" customFormat="1" ht="42" customHeight="1">
      <c r="A303" s="5">
        <v>0</v>
      </c>
      <c r="B303" s="6" t="s">
        <v>2113</v>
      </c>
      <c r="C303" s="13">
        <v>590</v>
      </c>
      <c r="D303" s="8" t="s">
        <v>2114</v>
      </c>
      <c r="E303" s="8" t="s">
        <v>2115</v>
      </c>
      <c r="F303" s="8" t="s">
        <v>2116</v>
      </c>
      <c r="G303" s="6" t="s">
        <v>67</v>
      </c>
      <c r="H303" s="6" t="s">
        <v>54</v>
      </c>
      <c r="I303" s="8" t="s">
        <v>40</v>
      </c>
      <c r="J303" s="9">
        <v>1</v>
      </c>
      <c r="K303" s="9">
        <v>113</v>
      </c>
      <c r="L303" s="9">
        <v>2024</v>
      </c>
      <c r="M303" s="8" t="s">
        <v>2117</v>
      </c>
      <c r="N303" s="8" t="s">
        <v>125</v>
      </c>
      <c r="O303" s="8" t="s">
        <v>432</v>
      </c>
      <c r="P303" s="6" t="s">
        <v>1285</v>
      </c>
      <c r="Q303" s="8" t="s">
        <v>45</v>
      </c>
      <c r="R303" s="10" t="s">
        <v>660</v>
      </c>
      <c r="S303" s="11"/>
      <c r="T303" s="6"/>
      <c r="U303" s="24" t="str">
        <f>HYPERLINK("https://media.infra-m.ru/2098/2098048/cover/2098048.jpg", "Обложка")</f>
        <v>Обложка</v>
      </c>
      <c r="V303" s="24" t="str">
        <f>HYPERLINK("https://znanium.ru/catalog/product/2098048", "Ознакомиться")</f>
        <v>Ознакомиться</v>
      </c>
      <c r="W303" s="8" t="s">
        <v>94</v>
      </c>
      <c r="X303" s="6"/>
      <c r="Y303" s="6"/>
      <c r="Z303" s="6" t="s">
        <v>48</v>
      </c>
      <c r="AA303" s="6" t="s">
        <v>49</v>
      </c>
      <c r="AB303" s="8"/>
    </row>
    <row r="304" spans="1:28" s="4" customFormat="1" ht="51.95" customHeight="1">
      <c r="A304" s="5">
        <v>0</v>
      </c>
      <c r="B304" s="6" t="s">
        <v>2118</v>
      </c>
      <c r="C304" s="7">
        <v>1884</v>
      </c>
      <c r="D304" s="8" t="s">
        <v>2119</v>
      </c>
      <c r="E304" s="8" t="s">
        <v>2120</v>
      </c>
      <c r="F304" s="8" t="s">
        <v>2121</v>
      </c>
      <c r="G304" s="6" t="s">
        <v>38</v>
      </c>
      <c r="H304" s="6" t="s">
        <v>299</v>
      </c>
      <c r="I304" s="8" t="s">
        <v>40</v>
      </c>
      <c r="J304" s="9">
        <v>1</v>
      </c>
      <c r="K304" s="9">
        <v>400</v>
      </c>
      <c r="L304" s="9">
        <v>2024</v>
      </c>
      <c r="M304" s="8" t="s">
        <v>2122</v>
      </c>
      <c r="N304" s="8" t="s">
        <v>125</v>
      </c>
      <c r="O304" s="8" t="s">
        <v>1630</v>
      </c>
      <c r="P304" s="6" t="s">
        <v>44</v>
      </c>
      <c r="Q304" s="8" t="s">
        <v>45</v>
      </c>
      <c r="R304" s="10" t="s">
        <v>1005</v>
      </c>
      <c r="S304" s="11" t="s">
        <v>2123</v>
      </c>
      <c r="T304" s="6"/>
      <c r="U304" s="24" t="str">
        <f>HYPERLINK("https://media.infra-m.ru/2155/2155748/cover/2155748.jpg", "Обложка")</f>
        <v>Обложка</v>
      </c>
      <c r="V304" s="24" t="str">
        <f>HYPERLINK("https://znanium.ru/catalog/product/1872110", "Ознакомиться")</f>
        <v>Ознакомиться</v>
      </c>
      <c r="W304" s="8" t="s">
        <v>466</v>
      </c>
      <c r="X304" s="6"/>
      <c r="Y304" s="6"/>
      <c r="Z304" s="6" t="s">
        <v>48</v>
      </c>
      <c r="AA304" s="6" t="s">
        <v>111</v>
      </c>
      <c r="AB304" s="8"/>
    </row>
    <row r="305" spans="1:28" s="4" customFormat="1" ht="51.95" customHeight="1">
      <c r="A305" s="5">
        <v>0</v>
      </c>
      <c r="B305" s="6" t="s">
        <v>2124</v>
      </c>
      <c r="C305" s="13">
        <v>574.9</v>
      </c>
      <c r="D305" s="8" t="s">
        <v>2125</v>
      </c>
      <c r="E305" s="8" t="s">
        <v>2126</v>
      </c>
      <c r="F305" s="8" t="s">
        <v>2116</v>
      </c>
      <c r="G305" s="6" t="s">
        <v>67</v>
      </c>
      <c r="H305" s="6" t="s">
        <v>39</v>
      </c>
      <c r="I305" s="8" t="s">
        <v>40</v>
      </c>
      <c r="J305" s="9">
        <v>1</v>
      </c>
      <c r="K305" s="9">
        <v>120</v>
      </c>
      <c r="L305" s="9">
        <v>2023</v>
      </c>
      <c r="M305" s="8" t="s">
        <v>2127</v>
      </c>
      <c r="N305" s="8" t="s">
        <v>125</v>
      </c>
      <c r="O305" s="8" t="s">
        <v>432</v>
      </c>
      <c r="P305" s="6" t="s">
        <v>44</v>
      </c>
      <c r="Q305" s="8" t="s">
        <v>45</v>
      </c>
      <c r="R305" s="10" t="s">
        <v>660</v>
      </c>
      <c r="S305" s="11" t="s">
        <v>2128</v>
      </c>
      <c r="T305" s="6"/>
      <c r="U305" s="24" t="str">
        <f>HYPERLINK("https://media.infra-m.ru/1920/1920310/cover/1920310.jpg", "Обложка")</f>
        <v>Обложка</v>
      </c>
      <c r="V305" s="24" t="str">
        <f>HYPERLINK("https://znanium.ru/catalog/product/2098048", "Ознакомиться")</f>
        <v>Ознакомиться</v>
      </c>
      <c r="W305" s="8" t="s">
        <v>94</v>
      </c>
      <c r="X305" s="6"/>
      <c r="Y305" s="6"/>
      <c r="Z305" s="6" t="s">
        <v>48</v>
      </c>
      <c r="AA305" s="6" t="s">
        <v>111</v>
      </c>
      <c r="AB305" s="8"/>
    </row>
    <row r="306" spans="1:28" s="4" customFormat="1" ht="51.95" customHeight="1">
      <c r="A306" s="5">
        <v>0</v>
      </c>
      <c r="B306" s="6" t="s">
        <v>2129</v>
      </c>
      <c r="C306" s="7">
        <v>1584</v>
      </c>
      <c r="D306" s="8" t="s">
        <v>2130</v>
      </c>
      <c r="E306" s="8" t="s">
        <v>2131</v>
      </c>
      <c r="F306" s="8" t="s">
        <v>2132</v>
      </c>
      <c r="G306" s="6" t="s">
        <v>90</v>
      </c>
      <c r="H306" s="6" t="s">
        <v>54</v>
      </c>
      <c r="I306" s="8" t="s">
        <v>40</v>
      </c>
      <c r="J306" s="9">
        <v>1</v>
      </c>
      <c r="K306" s="9">
        <v>304</v>
      </c>
      <c r="L306" s="9">
        <v>2026</v>
      </c>
      <c r="M306" s="8" t="s">
        <v>2133</v>
      </c>
      <c r="N306" s="8" t="s">
        <v>42</v>
      </c>
      <c r="O306" s="8" t="s">
        <v>169</v>
      </c>
      <c r="P306" s="6" t="s">
        <v>44</v>
      </c>
      <c r="Q306" s="8" t="s">
        <v>45</v>
      </c>
      <c r="R306" s="10" t="s">
        <v>2134</v>
      </c>
      <c r="S306" s="11" t="s">
        <v>2135</v>
      </c>
      <c r="T306" s="6"/>
      <c r="U306" s="24" t="str">
        <f>HYPERLINK("https://media.infra-m.ru/2223/2223171/cover/2223171.jpg", "Обложка")</f>
        <v>Обложка</v>
      </c>
      <c r="V306" s="24" t="str">
        <f>HYPERLINK("https://znanium.ru/catalog/product/2138720", "Ознакомиться")</f>
        <v>Ознакомиться</v>
      </c>
      <c r="W306" s="8" t="s">
        <v>2136</v>
      </c>
      <c r="X306" s="6"/>
      <c r="Y306" s="6"/>
      <c r="Z306" s="6" t="s">
        <v>48</v>
      </c>
      <c r="AA306" s="6" t="s">
        <v>223</v>
      </c>
      <c r="AB306" s="8"/>
    </row>
    <row r="307" spans="1:28" s="4" customFormat="1" ht="51.95" customHeight="1">
      <c r="A307" s="5">
        <v>0</v>
      </c>
      <c r="B307" s="6" t="s">
        <v>2137</v>
      </c>
      <c r="C307" s="7">
        <v>2400</v>
      </c>
      <c r="D307" s="8" t="s">
        <v>2138</v>
      </c>
      <c r="E307" s="8" t="s">
        <v>2139</v>
      </c>
      <c r="F307" s="8" t="s">
        <v>2140</v>
      </c>
      <c r="G307" s="6" t="s">
        <v>38</v>
      </c>
      <c r="H307" s="6" t="s">
        <v>54</v>
      </c>
      <c r="I307" s="8" t="s">
        <v>40</v>
      </c>
      <c r="J307" s="9">
        <v>1</v>
      </c>
      <c r="K307" s="9">
        <v>479</v>
      </c>
      <c r="L307" s="9">
        <v>2025</v>
      </c>
      <c r="M307" s="8" t="s">
        <v>2141</v>
      </c>
      <c r="N307" s="8" t="s">
        <v>535</v>
      </c>
      <c r="O307" s="8" t="s">
        <v>1048</v>
      </c>
      <c r="P307" s="6" t="s">
        <v>58</v>
      </c>
      <c r="Q307" s="8" t="s">
        <v>45</v>
      </c>
      <c r="R307" s="10" t="s">
        <v>1566</v>
      </c>
      <c r="S307" s="11" t="s">
        <v>2142</v>
      </c>
      <c r="T307" s="6"/>
      <c r="U307" s="24" t="str">
        <f>HYPERLINK("https://media.infra-m.ru/2163/2163285/cover/2163285.jpg", "Обложка")</f>
        <v>Обложка</v>
      </c>
      <c r="V307" s="24" t="str">
        <f>HYPERLINK("https://znanium.ru/catalog/product/2163285", "Ознакомиться")</f>
        <v>Ознакомиться</v>
      </c>
      <c r="W307" s="8" t="s">
        <v>2143</v>
      </c>
      <c r="X307" s="6"/>
      <c r="Y307" s="6"/>
      <c r="Z307" s="6" t="s">
        <v>929</v>
      </c>
      <c r="AA307" s="6" t="s">
        <v>2144</v>
      </c>
      <c r="AB307" s="8"/>
    </row>
    <row r="308" spans="1:28" s="4" customFormat="1" ht="51.95" customHeight="1">
      <c r="A308" s="5">
        <v>0</v>
      </c>
      <c r="B308" s="6" t="s">
        <v>2145</v>
      </c>
      <c r="C308" s="7">
        <v>2060</v>
      </c>
      <c r="D308" s="8" t="s">
        <v>2146</v>
      </c>
      <c r="E308" s="8" t="s">
        <v>2147</v>
      </c>
      <c r="F308" s="8" t="s">
        <v>2148</v>
      </c>
      <c r="G308" s="6" t="s">
        <v>90</v>
      </c>
      <c r="H308" s="6" t="s">
        <v>54</v>
      </c>
      <c r="I308" s="8" t="s">
        <v>40</v>
      </c>
      <c r="J308" s="9">
        <v>1</v>
      </c>
      <c r="K308" s="9">
        <v>396</v>
      </c>
      <c r="L308" s="9">
        <v>2026</v>
      </c>
      <c r="M308" s="8" t="s">
        <v>2149</v>
      </c>
      <c r="N308" s="8" t="s">
        <v>42</v>
      </c>
      <c r="O308" s="8" t="s">
        <v>1370</v>
      </c>
      <c r="P308" s="6" t="s">
        <v>58</v>
      </c>
      <c r="Q308" s="8" t="s">
        <v>45</v>
      </c>
      <c r="R308" s="10" t="s">
        <v>2150</v>
      </c>
      <c r="S308" s="11" t="s">
        <v>2151</v>
      </c>
      <c r="T308" s="6"/>
      <c r="U308" s="24" t="str">
        <f>HYPERLINK("https://media.infra-m.ru/2213/2213286/cover/2213286.jpg", "Обложка")</f>
        <v>Обложка</v>
      </c>
      <c r="V308" s="24" t="str">
        <f>HYPERLINK("https://znanium.ru/catalog/product/2213286", "Ознакомиться")</f>
        <v>Ознакомиться</v>
      </c>
      <c r="W308" s="8" t="s">
        <v>2152</v>
      </c>
      <c r="X308" s="6"/>
      <c r="Y308" s="6" t="s">
        <v>30</v>
      </c>
      <c r="Z308" s="6" t="s">
        <v>48</v>
      </c>
      <c r="AA308" s="6" t="s">
        <v>740</v>
      </c>
      <c r="AB308" s="8"/>
    </row>
    <row r="309" spans="1:28" s="4" customFormat="1" ht="51.95" customHeight="1">
      <c r="A309" s="5">
        <v>0</v>
      </c>
      <c r="B309" s="6" t="s">
        <v>2153</v>
      </c>
      <c r="C309" s="7">
        <v>1087</v>
      </c>
      <c r="D309" s="8" t="s">
        <v>2154</v>
      </c>
      <c r="E309" s="8" t="s">
        <v>2155</v>
      </c>
      <c r="F309" s="8" t="s">
        <v>2156</v>
      </c>
      <c r="G309" s="6" t="s">
        <v>67</v>
      </c>
      <c r="H309" s="6" t="s">
        <v>39</v>
      </c>
      <c r="I309" s="8" t="s">
        <v>40</v>
      </c>
      <c r="J309" s="9">
        <v>1</v>
      </c>
      <c r="K309" s="9">
        <v>81</v>
      </c>
      <c r="L309" s="9">
        <v>2026</v>
      </c>
      <c r="M309" s="8" t="s">
        <v>2157</v>
      </c>
      <c r="N309" s="8" t="s">
        <v>42</v>
      </c>
      <c r="O309" s="8" t="s">
        <v>1370</v>
      </c>
      <c r="P309" s="6" t="s">
        <v>2158</v>
      </c>
      <c r="Q309" s="8" t="s">
        <v>45</v>
      </c>
      <c r="R309" s="10" t="s">
        <v>2159</v>
      </c>
      <c r="S309" s="11" t="s">
        <v>2160</v>
      </c>
      <c r="T309" s="6"/>
      <c r="U309" s="24" t="str">
        <f>HYPERLINK("https://media.infra-m.ru/2223/2223167/cover/2223167.jpg", "Обложка")</f>
        <v>Обложка</v>
      </c>
      <c r="V309" s="24" t="str">
        <f>HYPERLINK("https://znanium.ru/catalog/product/2179099", "Ознакомиться")</f>
        <v>Ознакомиться</v>
      </c>
      <c r="W309" s="8" t="s">
        <v>361</v>
      </c>
      <c r="X309" s="6"/>
      <c r="Y309" s="6"/>
      <c r="Z309" s="6"/>
      <c r="AA309" s="6" t="s">
        <v>2161</v>
      </c>
      <c r="AB309" s="8"/>
    </row>
    <row r="310" spans="1:28" s="4" customFormat="1" ht="51.95" customHeight="1">
      <c r="A310" s="5">
        <v>0</v>
      </c>
      <c r="B310" s="6" t="s">
        <v>2162</v>
      </c>
      <c r="C310" s="13">
        <v>697</v>
      </c>
      <c r="D310" s="8" t="s">
        <v>2163</v>
      </c>
      <c r="E310" s="8" t="s">
        <v>2155</v>
      </c>
      <c r="F310" s="8" t="s">
        <v>2156</v>
      </c>
      <c r="G310" s="6" t="s">
        <v>67</v>
      </c>
      <c r="H310" s="6" t="s">
        <v>39</v>
      </c>
      <c r="I310" s="8" t="s">
        <v>40</v>
      </c>
      <c r="J310" s="9">
        <v>1</v>
      </c>
      <c r="K310" s="9">
        <v>58</v>
      </c>
      <c r="L310" s="9">
        <v>2025</v>
      </c>
      <c r="M310" s="8" t="s">
        <v>2164</v>
      </c>
      <c r="N310" s="8" t="s">
        <v>42</v>
      </c>
      <c r="O310" s="8" t="s">
        <v>1370</v>
      </c>
      <c r="P310" s="6" t="s">
        <v>2158</v>
      </c>
      <c r="Q310" s="8" t="s">
        <v>45</v>
      </c>
      <c r="R310" s="10" t="s">
        <v>2165</v>
      </c>
      <c r="S310" s="11" t="s">
        <v>1909</v>
      </c>
      <c r="T310" s="6"/>
      <c r="U310" s="24" t="str">
        <f>HYPERLINK("https://media.infra-m.ru/2227/2227040/cover/2227040.jpg", "Обложка")</f>
        <v>Обложка</v>
      </c>
      <c r="V310" s="24" t="str">
        <f>HYPERLINK("https://znanium.ru/catalog/product/2185122", "Ознакомиться")</f>
        <v>Ознакомиться</v>
      </c>
      <c r="W310" s="8" t="s">
        <v>180</v>
      </c>
      <c r="X310" s="6"/>
      <c r="Y310" s="6" t="s">
        <v>30</v>
      </c>
      <c r="Z310" s="6"/>
      <c r="AA310" s="6" t="s">
        <v>2166</v>
      </c>
      <c r="AB310" s="8"/>
    </row>
    <row r="311" spans="1:28" s="4" customFormat="1" ht="51.95" customHeight="1">
      <c r="A311" s="5">
        <v>0</v>
      </c>
      <c r="B311" s="6" t="s">
        <v>2167</v>
      </c>
      <c r="C311" s="7">
        <v>1984</v>
      </c>
      <c r="D311" s="8" t="s">
        <v>2168</v>
      </c>
      <c r="E311" s="8" t="s">
        <v>2169</v>
      </c>
      <c r="F311" s="8" t="s">
        <v>2170</v>
      </c>
      <c r="G311" s="6" t="s">
        <v>90</v>
      </c>
      <c r="H311" s="6" t="s">
        <v>54</v>
      </c>
      <c r="I311" s="8" t="s">
        <v>40</v>
      </c>
      <c r="J311" s="9">
        <v>1</v>
      </c>
      <c r="K311" s="9">
        <v>381</v>
      </c>
      <c r="L311" s="9">
        <v>2026</v>
      </c>
      <c r="M311" s="8" t="s">
        <v>2171</v>
      </c>
      <c r="N311" s="8" t="s">
        <v>42</v>
      </c>
      <c r="O311" s="8" t="s">
        <v>1370</v>
      </c>
      <c r="P311" s="6" t="s">
        <v>58</v>
      </c>
      <c r="Q311" s="8" t="s">
        <v>45</v>
      </c>
      <c r="R311" s="10" t="s">
        <v>2172</v>
      </c>
      <c r="S311" s="11" t="s">
        <v>2173</v>
      </c>
      <c r="T311" s="6"/>
      <c r="U311" s="24" t="str">
        <f>HYPERLINK("https://media.infra-m.ru/2218/2218364/cover/2218364.jpg", "Обложка")</f>
        <v>Обложка</v>
      </c>
      <c r="V311" s="24" t="str">
        <f>HYPERLINK("https://znanium.ru/catalog/product/1896569", "Ознакомиться")</f>
        <v>Ознакомиться</v>
      </c>
      <c r="W311" s="8" t="s">
        <v>1317</v>
      </c>
      <c r="X311" s="6"/>
      <c r="Y311" s="6" t="s">
        <v>30</v>
      </c>
      <c r="Z311" s="6"/>
      <c r="AA311" s="6" t="s">
        <v>111</v>
      </c>
      <c r="AB311" s="8"/>
    </row>
    <row r="312" spans="1:28" s="4" customFormat="1" ht="51.95" customHeight="1">
      <c r="A312" s="5">
        <v>0</v>
      </c>
      <c r="B312" s="6" t="s">
        <v>2174</v>
      </c>
      <c r="C312" s="7">
        <v>2597</v>
      </c>
      <c r="D312" s="8" t="s">
        <v>2175</v>
      </c>
      <c r="E312" s="8" t="s">
        <v>2169</v>
      </c>
      <c r="F312" s="8" t="s">
        <v>2176</v>
      </c>
      <c r="G312" s="6" t="s">
        <v>90</v>
      </c>
      <c r="H312" s="6" t="s">
        <v>54</v>
      </c>
      <c r="I312" s="8" t="s">
        <v>40</v>
      </c>
      <c r="J312" s="9">
        <v>1</v>
      </c>
      <c r="K312" s="9">
        <v>383</v>
      </c>
      <c r="L312" s="9">
        <v>2026</v>
      </c>
      <c r="M312" s="8" t="s">
        <v>2177</v>
      </c>
      <c r="N312" s="8" t="s">
        <v>42</v>
      </c>
      <c r="O312" s="8" t="s">
        <v>1370</v>
      </c>
      <c r="P312" s="6" t="s">
        <v>58</v>
      </c>
      <c r="Q312" s="8" t="s">
        <v>45</v>
      </c>
      <c r="R312" s="10" t="s">
        <v>2178</v>
      </c>
      <c r="S312" s="11" t="s">
        <v>2179</v>
      </c>
      <c r="T312" s="6"/>
      <c r="U312" s="24" t="str">
        <f>HYPERLINK("https://media.infra-m.ru/2213/2213287/cover/2213287.jpg", "Обложка")</f>
        <v>Обложка</v>
      </c>
      <c r="V312" s="24" t="str">
        <f>HYPERLINK("https://znanium.ru/catalog/product/2169732", "Ознакомиться")</f>
        <v>Ознакомиться</v>
      </c>
      <c r="W312" s="8" t="s">
        <v>2180</v>
      </c>
      <c r="X312" s="6"/>
      <c r="Y312" s="6" t="s">
        <v>30</v>
      </c>
      <c r="Z312" s="6"/>
      <c r="AA312" s="6" t="s">
        <v>740</v>
      </c>
      <c r="AB312" s="8"/>
    </row>
    <row r="313" spans="1:28" s="4" customFormat="1" ht="51.95" customHeight="1">
      <c r="A313" s="5">
        <v>0</v>
      </c>
      <c r="B313" s="6" t="s">
        <v>2181</v>
      </c>
      <c r="C313" s="7">
        <v>1410</v>
      </c>
      <c r="D313" s="8" t="s">
        <v>2182</v>
      </c>
      <c r="E313" s="8" t="s">
        <v>2183</v>
      </c>
      <c r="F313" s="8" t="s">
        <v>2184</v>
      </c>
      <c r="G313" s="6" t="s">
        <v>90</v>
      </c>
      <c r="H313" s="6" t="s">
        <v>54</v>
      </c>
      <c r="I313" s="8" t="s">
        <v>40</v>
      </c>
      <c r="J313" s="9">
        <v>1</v>
      </c>
      <c r="K313" s="9">
        <v>305</v>
      </c>
      <c r="L313" s="9">
        <v>2024</v>
      </c>
      <c r="M313" s="8" t="s">
        <v>2185</v>
      </c>
      <c r="N313" s="8" t="s">
        <v>42</v>
      </c>
      <c r="O313" s="8" t="s">
        <v>1370</v>
      </c>
      <c r="P313" s="6" t="s">
        <v>58</v>
      </c>
      <c r="Q313" s="8" t="s">
        <v>45</v>
      </c>
      <c r="R313" s="10" t="s">
        <v>2186</v>
      </c>
      <c r="S313" s="11" t="s">
        <v>2187</v>
      </c>
      <c r="T313" s="6"/>
      <c r="U313" s="24" t="str">
        <f>HYPERLINK("https://media.infra-m.ru/2130/2130726/cover/2130726.jpg", "Обложка")</f>
        <v>Обложка</v>
      </c>
      <c r="V313" s="24" t="str">
        <f>HYPERLINK("https://znanium.ru/catalog/product/2130726", "Ознакомиться")</f>
        <v>Ознакомиться</v>
      </c>
      <c r="W313" s="8" t="s">
        <v>2044</v>
      </c>
      <c r="X313" s="6"/>
      <c r="Y313" s="6" t="s">
        <v>30</v>
      </c>
      <c r="Z313" s="6"/>
      <c r="AA313" s="6" t="s">
        <v>443</v>
      </c>
      <c r="AB313" s="8"/>
    </row>
    <row r="314" spans="1:28" s="4" customFormat="1" ht="51.95" customHeight="1">
      <c r="A314" s="5">
        <v>0</v>
      </c>
      <c r="B314" s="6" t="s">
        <v>2188</v>
      </c>
      <c r="C314" s="7">
        <v>3140</v>
      </c>
      <c r="D314" s="8" t="s">
        <v>2189</v>
      </c>
      <c r="E314" s="8" t="s">
        <v>2190</v>
      </c>
      <c r="F314" s="8" t="s">
        <v>2132</v>
      </c>
      <c r="G314" s="6" t="s">
        <v>38</v>
      </c>
      <c r="H314" s="6" t="s">
        <v>54</v>
      </c>
      <c r="I314" s="8" t="s">
        <v>40</v>
      </c>
      <c r="J314" s="9">
        <v>1</v>
      </c>
      <c r="K314" s="9">
        <v>605</v>
      </c>
      <c r="L314" s="9">
        <v>2026</v>
      </c>
      <c r="M314" s="8" t="s">
        <v>2191</v>
      </c>
      <c r="N314" s="8" t="s">
        <v>535</v>
      </c>
      <c r="O314" s="8" t="s">
        <v>1048</v>
      </c>
      <c r="P314" s="6" t="s">
        <v>44</v>
      </c>
      <c r="Q314" s="8" t="s">
        <v>45</v>
      </c>
      <c r="R314" s="10" t="s">
        <v>2192</v>
      </c>
      <c r="S314" s="11" t="s">
        <v>2193</v>
      </c>
      <c r="T314" s="6" t="s">
        <v>118</v>
      </c>
      <c r="U314" s="24" t="str">
        <f>HYPERLINK("https://media.infra-m.ru/2213/2213662/cover/2213662.jpg", "Обложка")</f>
        <v>Обложка</v>
      </c>
      <c r="V314" s="24" t="str">
        <f>HYPERLINK("https://znanium.ru/catalog/product/2213662", "Ознакомиться")</f>
        <v>Ознакомиться</v>
      </c>
      <c r="W314" s="8" t="s">
        <v>2136</v>
      </c>
      <c r="X314" s="6"/>
      <c r="Y314" s="6"/>
      <c r="Z314" s="6" t="s">
        <v>48</v>
      </c>
      <c r="AA314" s="6" t="s">
        <v>223</v>
      </c>
      <c r="AB314" s="8"/>
    </row>
    <row r="315" spans="1:28" s="4" customFormat="1" ht="51.95" customHeight="1">
      <c r="A315" s="5">
        <v>0</v>
      </c>
      <c r="B315" s="6" t="s">
        <v>2194</v>
      </c>
      <c r="C315" s="7">
        <v>1000</v>
      </c>
      <c r="D315" s="8" t="s">
        <v>2195</v>
      </c>
      <c r="E315" s="8" t="s">
        <v>2196</v>
      </c>
      <c r="F315" s="8" t="s">
        <v>2197</v>
      </c>
      <c r="G315" s="6" t="s">
        <v>90</v>
      </c>
      <c r="H315" s="6" t="s">
        <v>54</v>
      </c>
      <c r="I315" s="8" t="s">
        <v>40</v>
      </c>
      <c r="J315" s="9">
        <v>1</v>
      </c>
      <c r="K315" s="9">
        <v>192</v>
      </c>
      <c r="L315" s="9">
        <v>2026</v>
      </c>
      <c r="M315" s="8" t="s">
        <v>2198</v>
      </c>
      <c r="N315" s="8" t="s">
        <v>1306</v>
      </c>
      <c r="O315" s="8" t="s">
        <v>1307</v>
      </c>
      <c r="P315" s="6" t="s">
        <v>1285</v>
      </c>
      <c r="Q315" s="8" t="s">
        <v>45</v>
      </c>
      <c r="R315" s="10" t="s">
        <v>2199</v>
      </c>
      <c r="S315" s="11" t="s">
        <v>2200</v>
      </c>
      <c r="T315" s="6"/>
      <c r="U315" s="24" t="str">
        <f>HYPERLINK("https://media.infra-m.ru/2215/2215342/cover/2215342.jpg", "Обложка")</f>
        <v>Обложка</v>
      </c>
      <c r="V315" s="24" t="str">
        <f>HYPERLINK("https://znanium.ru/catalog/product/2215342", "Ознакомиться")</f>
        <v>Ознакомиться</v>
      </c>
      <c r="W315" s="8" t="s">
        <v>956</v>
      </c>
      <c r="X315" s="6"/>
      <c r="Y315" s="6"/>
      <c r="Z315" s="6" t="s">
        <v>207</v>
      </c>
      <c r="AA315" s="6" t="s">
        <v>500</v>
      </c>
      <c r="AB315" s="8"/>
    </row>
    <row r="316" spans="1:28" s="4" customFormat="1" ht="44.1" customHeight="1">
      <c r="A316" s="5">
        <v>0</v>
      </c>
      <c r="B316" s="6" t="s">
        <v>2201</v>
      </c>
      <c r="C316" s="7">
        <v>1470</v>
      </c>
      <c r="D316" s="8" t="s">
        <v>2202</v>
      </c>
      <c r="E316" s="8" t="s">
        <v>2203</v>
      </c>
      <c r="F316" s="8" t="s">
        <v>2204</v>
      </c>
      <c r="G316" s="6" t="s">
        <v>38</v>
      </c>
      <c r="H316" s="6" t="s">
        <v>54</v>
      </c>
      <c r="I316" s="8" t="s">
        <v>40</v>
      </c>
      <c r="J316" s="9">
        <v>1</v>
      </c>
      <c r="K316" s="9">
        <v>267</v>
      </c>
      <c r="L316" s="9">
        <v>2026</v>
      </c>
      <c r="M316" s="8" t="s">
        <v>2205</v>
      </c>
      <c r="N316" s="8" t="s">
        <v>56</v>
      </c>
      <c r="O316" s="8" t="s">
        <v>57</v>
      </c>
      <c r="P316" s="6" t="s">
        <v>44</v>
      </c>
      <c r="Q316" s="8" t="s">
        <v>45</v>
      </c>
      <c r="R316" s="10" t="s">
        <v>2206</v>
      </c>
      <c r="S316" s="11"/>
      <c r="T316" s="6"/>
      <c r="U316" s="24" t="str">
        <f>HYPERLINK("https://media.infra-m.ru/2174/2174701/cover/2174701.jpg", "Обложка")</f>
        <v>Обложка</v>
      </c>
      <c r="V316" s="24" t="str">
        <f>HYPERLINK("https://znanium.ru/catalog/product/2174701", "Ознакомиться")</f>
        <v>Ознакомиться</v>
      </c>
      <c r="W316" s="8" t="s">
        <v>2207</v>
      </c>
      <c r="X316" s="6" t="s">
        <v>1400</v>
      </c>
      <c r="Y316" s="6"/>
      <c r="Z316" s="6"/>
      <c r="AA316" s="6" t="s">
        <v>62</v>
      </c>
      <c r="AB316" s="8"/>
    </row>
    <row r="317" spans="1:28" s="4" customFormat="1" ht="51.95" customHeight="1">
      <c r="A317" s="5">
        <v>0</v>
      </c>
      <c r="B317" s="6" t="s">
        <v>2208</v>
      </c>
      <c r="C317" s="7">
        <v>1094</v>
      </c>
      <c r="D317" s="8" t="s">
        <v>2209</v>
      </c>
      <c r="E317" s="8" t="s">
        <v>2210</v>
      </c>
      <c r="F317" s="8" t="s">
        <v>1327</v>
      </c>
      <c r="G317" s="6" t="s">
        <v>90</v>
      </c>
      <c r="H317" s="6" t="s">
        <v>54</v>
      </c>
      <c r="I317" s="8" t="s">
        <v>40</v>
      </c>
      <c r="J317" s="9">
        <v>1</v>
      </c>
      <c r="K317" s="9">
        <v>197</v>
      </c>
      <c r="L317" s="9">
        <v>2026</v>
      </c>
      <c r="M317" s="8" t="s">
        <v>2211</v>
      </c>
      <c r="N317" s="8" t="s">
        <v>42</v>
      </c>
      <c r="O317" s="8" t="s">
        <v>243</v>
      </c>
      <c r="P317" s="6" t="s">
        <v>58</v>
      </c>
      <c r="Q317" s="8" t="s">
        <v>45</v>
      </c>
      <c r="R317" s="10" t="s">
        <v>2212</v>
      </c>
      <c r="S317" s="11" t="s">
        <v>2213</v>
      </c>
      <c r="T317" s="6"/>
      <c r="U317" s="24" t="str">
        <f>HYPERLINK("https://media.infra-m.ru/2221/2221479/cover/2221479.jpg", "Обложка")</f>
        <v>Обложка</v>
      </c>
      <c r="V317" s="24" t="str">
        <f>HYPERLINK("https://znanium.ru/catalog/product/2213020", "Ознакомиться")</f>
        <v>Ознакомиться</v>
      </c>
      <c r="W317" s="8"/>
      <c r="X317" s="6"/>
      <c r="Y317" s="6"/>
      <c r="Z317" s="6" t="s">
        <v>48</v>
      </c>
      <c r="AA317" s="6" t="s">
        <v>362</v>
      </c>
      <c r="AB317" s="8"/>
    </row>
    <row r="318" spans="1:28" s="4" customFormat="1" ht="51.95" customHeight="1">
      <c r="A318" s="5">
        <v>0</v>
      </c>
      <c r="B318" s="6" t="s">
        <v>2214</v>
      </c>
      <c r="C318" s="7">
        <v>2084</v>
      </c>
      <c r="D318" s="8" t="s">
        <v>2215</v>
      </c>
      <c r="E318" s="8" t="s">
        <v>2216</v>
      </c>
      <c r="F318" s="8" t="s">
        <v>2217</v>
      </c>
      <c r="G318" s="6" t="s">
        <v>38</v>
      </c>
      <c r="H318" s="6" t="s">
        <v>39</v>
      </c>
      <c r="I318" s="8" t="s">
        <v>40</v>
      </c>
      <c r="J318" s="9">
        <v>1</v>
      </c>
      <c r="K318" s="9">
        <v>400</v>
      </c>
      <c r="L318" s="9">
        <v>2026</v>
      </c>
      <c r="M318" s="8" t="s">
        <v>2218</v>
      </c>
      <c r="N318" s="8" t="s">
        <v>1306</v>
      </c>
      <c r="O318" s="8" t="s">
        <v>1307</v>
      </c>
      <c r="P318" s="6" t="s">
        <v>58</v>
      </c>
      <c r="Q318" s="8" t="s">
        <v>45</v>
      </c>
      <c r="R318" s="10" t="s">
        <v>2219</v>
      </c>
      <c r="S318" s="11" t="s">
        <v>2220</v>
      </c>
      <c r="T318" s="6"/>
      <c r="U318" s="24" t="str">
        <f>HYPERLINK("https://media.infra-m.ru/2210/2210344/cover/2210344.jpg", "Обложка")</f>
        <v>Обложка</v>
      </c>
      <c r="V318" s="24" t="str">
        <f>HYPERLINK("https://znanium.ru/catalog/product/960137", "Ознакомиться")</f>
        <v>Ознакомиться</v>
      </c>
      <c r="W318" s="8" t="s">
        <v>956</v>
      </c>
      <c r="X318" s="6"/>
      <c r="Y318" s="6"/>
      <c r="Z318" s="6" t="s">
        <v>207</v>
      </c>
      <c r="AA318" s="6" t="s">
        <v>111</v>
      </c>
      <c r="AB318" s="8"/>
    </row>
    <row r="319" spans="1:28" s="4" customFormat="1" ht="51.95" customHeight="1">
      <c r="A319" s="5">
        <v>0</v>
      </c>
      <c r="B319" s="6" t="s">
        <v>2221</v>
      </c>
      <c r="C319" s="7">
        <v>1137</v>
      </c>
      <c r="D319" s="8" t="s">
        <v>2222</v>
      </c>
      <c r="E319" s="8" t="s">
        <v>2223</v>
      </c>
      <c r="F319" s="8" t="s">
        <v>1314</v>
      </c>
      <c r="G319" s="6" t="s">
        <v>38</v>
      </c>
      <c r="H319" s="6" t="s">
        <v>54</v>
      </c>
      <c r="I319" s="8" t="s">
        <v>40</v>
      </c>
      <c r="J319" s="9">
        <v>1</v>
      </c>
      <c r="K319" s="9">
        <v>174</v>
      </c>
      <c r="L319" s="9">
        <v>2023</v>
      </c>
      <c r="M319" s="8" t="s">
        <v>2224</v>
      </c>
      <c r="N319" s="8" t="s">
        <v>42</v>
      </c>
      <c r="O319" s="8" t="s">
        <v>43</v>
      </c>
      <c r="P319" s="6" t="s">
        <v>44</v>
      </c>
      <c r="Q319" s="8" t="s">
        <v>45</v>
      </c>
      <c r="R319" s="10" t="s">
        <v>72</v>
      </c>
      <c r="S319" s="11" t="s">
        <v>2225</v>
      </c>
      <c r="T319" s="6"/>
      <c r="U319" s="24" t="str">
        <f>HYPERLINK("https://media.infra-m.ru/2186/2186213/cover/2186213.jpg", "Обложка")</f>
        <v>Обложка</v>
      </c>
      <c r="V319" s="12"/>
      <c r="W319" s="8" t="s">
        <v>1317</v>
      </c>
      <c r="X319" s="6"/>
      <c r="Y319" s="6"/>
      <c r="Z319" s="6" t="s">
        <v>48</v>
      </c>
      <c r="AA319" s="6" t="s">
        <v>2226</v>
      </c>
      <c r="AB319" s="8"/>
    </row>
    <row r="320" spans="1:28" s="4" customFormat="1" ht="51.95" customHeight="1">
      <c r="A320" s="5">
        <v>0</v>
      </c>
      <c r="B320" s="6" t="s">
        <v>2227</v>
      </c>
      <c r="C320" s="7">
        <v>1654</v>
      </c>
      <c r="D320" s="8" t="s">
        <v>2228</v>
      </c>
      <c r="E320" s="8" t="s">
        <v>2229</v>
      </c>
      <c r="F320" s="8" t="s">
        <v>2230</v>
      </c>
      <c r="G320" s="6" t="s">
        <v>38</v>
      </c>
      <c r="H320" s="6" t="s">
        <v>54</v>
      </c>
      <c r="I320" s="8" t="s">
        <v>40</v>
      </c>
      <c r="J320" s="9">
        <v>1</v>
      </c>
      <c r="K320" s="9">
        <v>352</v>
      </c>
      <c r="L320" s="9">
        <v>2024</v>
      </c>
      <c r="M320" s="8" t="s">
        <v>2231</v>
      </c>
      <c r="N320" s="8" t="s">
        <v>42</v>
      </c>
      <c r="O320" s="8" t="s">
        <v>553</v>
      </c>
      <c r="P320" s="6" t="s">
        <v>44</v>
      </c>
      <c r="Q320" s="8" t="s">
        <v>45</v>
      </c>
      <c r="R320" s="10" t="s">
        <v>2232</v>
      </c>
      <c r="S320" s="11" t="s">
        <v>2233</v>
      </c>
      <c r="T320" s="6"/>
      <c r="U320" s="24" t="str">
        <f>HYPERLINK("https://media.infra-m.ru/2157/2157276/cover/2157276.jpg", "Обложка")</f>
        <v>Обложка</v>
      </c>
      <c r="V320" s="24" t="str">
        <f>HYPERLINK("https://znanium.ru/catalog/product/1863043", "Ознакомиться")</f>
        <v>Ознакомиться</v>
      </c>
      <c r="W320" s="8" t="s">
        <v>1917</v>
      </c>
      <c r="X320" s="6"/>
      <c r="Y320" s="6"/>
      <c r="Z320" s="6" t="s">
        <v>929</v>
      </c>
      <c r="AA320" s="6" t="s">
        <v>129</v>
      </c>
      <c r="AB320" s="8"/>
    </row>
    <row r="321" spans="1:28" s="4" customFormat="1" ht="51.95" customHeight="1">
      <c r="A321" s="5">
        <v>0</v>
      </c>
      <c r="B321" s="6" t="s">
        <v>2234</v>
      </c>
      <c r="C321" s="13">
        <v>685</v>
      </c>
      <c r="D321" s="8" t="s">
        <v>2235</v>
      </c>
      <c r="E321" s="8" t="s">
        <v>2236</v>
      </c>
      <c r="F321" s="8" t="s">
        <v>2237</v>
      </c>
      <c r="G321" s="6" t="s">
        <v>90</v>
      </c>
      <c r="H321" s="6" t="s">
        <v>68</v>
      </c>
      <c r="I321" s="8" t="s">
        <v>69</v>
      </c>
      <c r="J321" s="9">
        <v>1</v>
      </c>
      <c r="K321" s="9">
        <v>124</v>
      </c>
      <c r="L321" s="9">
        <v>2024</v>
      </c>
      <c r="M321" s="8" t="s">
        <v>2238</v>
      </c>
      <c r="N321" s="8" t="s">
        <v>42</v>
      </c>
      <c r="O321" s="8" t="s">
        <v>43</v>
      </c>
      <c r="P321" s="6" t="s">
        <v>44</v>
      </c>
      <c r="Q321" s="8" t="s">
        <v>45</v>
      </c>
      <c r="R321" s="10" t="s">
        <v>2239</v>
      </c>
      <c r="S321" s="11" t="s">
        <v>2240</v>
      </c>
      <c r="T321" s="6"/>
      <c r="U321" s="24" t="str">
        <f>HYPERLINK("https://media.infra-m.ru/2107/2107303/cover/2107303.jpg", "Обложка")</f>
        <v>Обложка</v>
      </c>
      <c r="V321" s="24" t="str">
        <f>HYPERLINK("https://znanium.ru/catalog/product/1229451", "Ознакомиться")</f>
        <v>Ознакомиться</v>
      </c>
      <c r="W321" s="8" t="s">
        <v>2241</v>
      </c>
      <c r="X321" s="6"/>
      <c r="Y321" s="6" t="s">
        <v>30</v>
      </c>
      <c r="Z321" s="6"/>
      <c r="AA321" s="6" t="s">
        <v>147</v>
      </c>
      <c r="AB321" s="8"/>
    </row>
    <row r="322" spans="1:28" s="4" customFormat="1" ht="51.95" customHeight="1">
      <c r="A322" s="5">
        <v>0</v>
      </c>
      <c r="B322" s="6" t="s">
        <v>2242</v>
      </c>
      <c r="C322" s="7">
        <v>1284</v>
      </c>
      <c r="D322" s="8" t="s">
        <v>2243</v>
      </c>
      <c r="E322" s="8" t="s">
        <v>2244</v>
      </c>
      <c r="F322" s="8" t="s">
        <v>2245</v>
      </c>
      <c r="G322" s="6" t="s">
        <v>90</v>
      </c>
      <c r="H322" s="6" t="s">
        <v>54</v>
      </c>
      <c r="I322" s="8" t="s">
        <v>40</v>
      </c>
      <c r="J322" s="9">
        <v>1</v>
      </c>
      <c r="K322" s="9">
        <v>247</v>
      </c>
      <c r="L322" s="9">
        <v>2026</v>
      </c>
      <c r="M322" s="8" t="s">
        <v>2246</v>
      </c>
      <c r="N322" s="8" t="s">
        <v>42</v>
      </c>
      <c r="O322" s="8" t="s">
        <v>43</v>
      </c>
      <c r="P322" s="6" t="s">
        <v>44</v>
      </c>
      <c r="Q322" s="8" t="s">
        <v>45</v>
      </c>
      <c r="R322" s="10" t="s">
        <v>2247</v>
      </c>
      <c r="S322" s="11" t="s">
        <v>2248</v>
      </c>
      <c r="T322" s="6"/>
      <c r="U322" s="24" t="str">
        <f>HYPERLINK("https://media.infra-m.ru/2213/2213143/cover/2213143.jpg", "Обложка")</f>
        <v>Обложка</v>
      </c>
      <c r="V322" s="24" t="str">
        <f>HYPERLINK("https://znanium.ru/catalog/product/995608", "Ознакомиться")</f>
        <v>Ознакомиться</v>
      </c>
      <c r="W322" s="8"/>
      <c r="X322" s="6"/>
      <c r="Y322" s="6"/>
      <c r="Z322" s="6"/>
      <c r="AA322" s="6" t="s">
        <v>500</v>
      </c>
      <c r="AB322" s="8"/>
    </row>
    <row r="323" spans="1:28" s="4" customFormat="1" ht="51.95" customHeight="1">
      <c r="A323" s="5">
        <v>0</v>
      </c>
      <c r="B323" s="6" t="s">
        <v>2249</v>
      </c>
      <c r="C323" s="7">
        <v>2824</v>
      </c>
      <c r="D323" s="8" t="s">
        <v>2250</v>
      </c>
      <c r="E323" s="8" t="s">
        <v>2251</v>
      </c>
      <c r="F323" s="8" t="s">
        <v>1327</v>
      </c>
      <c r="G323" s="6" t="s">
        <v>90</v>
      </c>
      <c r="H323" s="6" t="s">
        <v>299</v>
      </c>
      <c r="I323" s="8" t="s">
        <v>40</v>
      </c>
      <c r="J323" s="9">
        <v>1</v>
      </c>
      <c r="K323" s="9">
        <v>542</v>
      </c>
      <c r="L323" s="9">
        <v>2026</v>
      </c>
      <c r="M323" s="8" t="s">
        <v>2252</v>
      </c>
      <c r="N323" s="8" t="s">
        <v>42</v>
      </c>
      <c r="O323" s="8" t="s">
        <v>43</v>
      </c>
      <c r="P323" s="6" t="s">
        <v>58</v>
      </c>
      <c r="Q323" s="8" t="s">
        <v>45</v>
      </c>
      <c r="R323" s="10" t="s">
        <v>2253</v>
      </c>
      <c r="S323" s="11" t="s">
        <v>2254</v>
      </c>
      <c r="T323" s="6"/>
      <c r="U323" s="24" t="str">
        <f>HYPERLINK("https://media.infra-m.ru/2212/2212141/cover/2212141.jpg", "Обложка")</f>
        <v>Обложка</v>
      </c>
      <c r="V323" s="24" t="str">
        <f>HYPERLINK("https://znanium.ru/catalog/product/2169724", "Ознакомиться")</f>
        <v>Ознакомиться</v>
      </c>
      <c r="W323" s="8"/>
      <c r="X323" s="6"/>
      <c r="Y323" s="6" t="s">
        <v>30</v>
      </c>
      <c r="Z323" s="6"/>
      <c r="AA323" s="6" t="s">
        <v>181</v>
      </c>
      <c r="AB323" s="8"/>
    </row>
    <row r="324" spans="1:28" s="4" customFormat="1" ht="42" customHeight="1">
      <c r="A324" s="5">
        <v>0</v>
      </c>
      <c r="B324" s="6" t="s">
        <v>2255</v>
      </c>
      <c r="C324" s="7">
        <v>1700</v>
      </c>
      <c r="D324" s="8" t="s">
        <v>2256</v>
      </c>
      <c r="E324" s="8" t="s">
        <v>2257</v>
      </c>
      <c r="F324" s="8" t="s">
        <v>2258</v>
      </c>
      <c r="G324" s="6" t="s">
        <v>38</v>
      </c>
      <c r="H324" s="6" t="s">
        <v>54</v>
      </c>
      <c r="I324" s="8" t="s">
        <v>40</v>
      </c>
      <c r="J324" s="9">
        <v>1</v>
      </c>
      <c r="K324" s="9">
        <v>363</v>
      </c>
      <c r="L324" s="9">
        <v>2023</v>
      </c>
      <c r="M324" s="8" t="s">
        <v>2259</v>
      </c>
      <c r="N324" s="8" t="s">
        <v>42</v>
      </c>
      <c r="O324" s="8" t="s">
        <v>43</v>
      </c>
      <c r="P324" s="6" t="s">
        <v>44</v>
      </c>
      <c r="Q324" s="8" t="s">
        <v>45</v>
      </c>
      <c r="R324" s="10" t="s">
        <v>2260</v>
      </c>
      <c r="S324" s="11"/>
      <c r="T324" s="6"/>
      <c r="U324" s="24" t="str">
        <f>HYPERLINK("https://media.infra-m.ru/1867/1867576/cover/1867576.jpg", "Обложка")</f>
        <v>Обложка</v>
      </c>
      <c r="V324" s="24" t="str">
        <f>HYPERLINK("https://znanium.ru/catalog/product/1867576", "Ознакомиться")</f>
        <v>Ознакомиться</v>
      </c>
      <c r="W324" s="8" t="s">
        <v>2261</v>
      </c>
      <c r="X324" s="6"/>
      <c r="Y324" s="6"/>
      <c r="Z324" s="6"/>
      <c r="AA324" s="6" t="s">
        <v>102</v>
      </c>
      <c r="AB324" s="8"/>
    </row>
    <row r="325" spans="1:28" s="4" customFormat="1" ht="51.95" customHeight="1">
      <c r="A325" s="5">
        <v>0</v>
      </c>
      <c r="B325" s="6" t="s">
        <v>2262</v>
      </c>
      <c r="C325" s="7">
        <v>2604</v>
      </c>
      <c r="D325" s="8" t="s">
        <v>2263</v>
      </c>
      <c r="E325" s="8" t="s">
        <v>2264</v>
      </c>
      <c r="F325" s="8" t="s">
        <v>1314</v>
      </c>
      <c r="G325" s="6" t="s">
        <v>38</v>
      </c>
      <c r="H325" s="6" t="s">
        <v>54</v>
      </c>
      <c r="I325" s="8" t="s">
        <v>40</v>
      </c>
      <c r="J325" s="9">
        <v>1</v>
      </c>
      <c r="K325" s="9">
        <v>566</v>
      </c>
      <c r="L325" s="9">
        <v>2024</v>
      </c>
      <c r="M325" s="8" t="s">
        <v>2265</v>
      </c>
      <c r="N325" s="8" t="s">
        <v>42</v>
      </c>
      <c r="O325" s="8" t="s">
        <v>43</v>
      </c>
      <c r="P325" s="6" t="s">
        <v>58</v>
      </c>
      <c r="Q325" s="8" t="s">
        <v>45</v>
      </c>
      <c r="R325" s="10" t="s">
        <v>2266</v>
      </c>
      <c r="S325" s="11" t="s">
        <v>2267</v>
      </c>
      <c r="T325" s="6"/>
      <c r="U325" s="24" t="str">
        <f>HYPERLINK("https://media.infra-m.ru/2113/2113868/cover/2113868.jpg", "Обложка")</f>
        <v>Обложка</v>
      </c>
      <c r="V325" s="24" t="str">
        <f>HYPERLINK("https://znanium.ru/catalog/product/1915623", "Ознакомиться")</f>
        <v>Ознакомиться</v>
      </c>
      <c r="W325" s="8" t="s">
        <v>1317</v>
      </c>
      <c r="X325" s="6"/>
      <c r="Y325" s="6"/>
      <c r="Z325" s="6" t="s">
        <v>207</v>
      </c>
      <c r="AA325" s="6" t="s">
        <v>999</v>
      </c>
      <c r="AB325" s="8"/>
    </row>
    <row r="326" spans="1:28" s="4" customFormat="1" ht="51.95" customHeight="1">
      <c r="A326" s="5">
        <v>0</v>
      </c>
      <c r="B326" s="6" t="s">
        <v>2268</v>
      </c>
      <c r="C326" s="7">
        <v>2170</v>
      </c>
      <c r="D326" s="8" t="s">
        <v>2269</v>
      </c>
      <c r="E326" s="8" t="s">
        <v>2270</v>
      </c>
      <c r="F326" s="8" t="s">
        <v>2271</v>
      </c>
      <c r="G326" s="6" t="s">
        <v>38</v>
      </c>
      <c r="H326" s="6" t="s">
        <v>54</v>
      </c>
      <c r="I326" s="8" t="s">
        <v>40</v>
      </c>
      <c r="J326" s="9">
        <v>1</v>
      </c>
      <c r="K326" s="9">
        <v>416</v>
      </c>
      <c r="L326" s="9">
        <v>2026</v>
      </c>
      <c r="M326" s="8" t="s">
        <v>2272</v>
      </c>
      <c r="N326" s="8" t="s">
        <v>42</v>
      </c>
      <c r="O326" s="8" t="s">
        <v>43</v>
      </c>
      <c r="P326" s="6" t="s">
        <v>44</v>
      </c>
      <c r="Q326" s="8" t="s">
        <v>45</v>
      </c>
      <c r="R326" s="10" t="s">
        <v>2273</v>
      </c>
      <c r="S326" s="11" t="s">
        <v>2274</v>
      </c>
      <c r="T326" s="6"/>
      <c r="U326" s="24" t="str">
        <f>HYPERLINK("https://media.infra-m.ru/2207/2207574/cover/2207574.jpg", "Обложка")</f>
        <v>Обложка</v>
      </c>
      <c r="V326" s="24" t="str">
        <f>HYPERLINK("https://znanium.ru/catalog/product/2207574", "Ознакомиться")</f>
        <v>Ознакомиться</v>
      </c>
      <c r="W326" s="8" t="s">
        <v>834</v>
      </c>
      <c r="X326" s="6"/>
      <c r="Y326" s="6" t="s">
        <v>30</v>
      </c>
      <c r="Z326" s="6"/>
      <c r="AA326" s="6" t="s">
        <v>304</v>
      </c>
      <c r="AB326" s="8"/>
    </row>
    <row r="327" spans="1:28" s="4" customFormat="1" ht="51.95" customHeight="1">
      <c r="A327" s="5">
        <v>0</v>
      </c>
      <c r="B327" s="6" t="s">
        <v>2275</v>
      </c>
      <c r="C327" s="7">
        <v>2154</v>
      </c>
      <c r="D327" s="8" t="s">
        <v>2276</v>
      </c>
      <c r="E327" s="8" t="s">
        <v>2277</v>
      </c>
      <c r="F327" s="8" t="s">
        <v>2278</v>
      </c>
      <c r="G327" s="6" t="s">
        <v>90</v>
      </c>
      <c r="H327" s="6" t="s">
        <v>39</v>
      </c>
      <c r="I327" s="8" t="s">
        <v>40</v>
      </c>
      <c r="J327" s="9">
        <v>1</v>
      </c>
      <c r="K327" s="9">
        <v>432</v>
      </c>
      <c r="L327" s="9">
        <v>2025</v>
      </c>
      <c r="M327" s="8" t="s">
        <v>2279</v>
      </c>
      <c r="N327" s="8" t="s">
        <v>42</v>
      </c>
      <c r="O327" s="8" t="s">
        <v>43</v>
      </c>
      <c r="P327" s="6" t="s">
        <v>44</v>
      </c>
      <c r="Q327" s="8" t="s">
        <v>45</v>
      </c>
      <c r="R327" s="10" t="s">
        <v>2280</v>
      </c>
      <c r="S327" s="11" t="s">
        <v>2281</v>
      </c>
      <c r="T327" s="6"/>
      <c r="U327" s="24" t="str">
        <f>HYPERLINK("https://media.infra-m.ru/2184/2184954/cover/2184954.jpg", "Обложка")</f>
        <v>Обложка</v>
      </c>
      <c r="V327" s="24" t="str">
        <f>HYPERLINK("https://znanium.ru/catalog/product/1189328", "Ознакомиться")</f>
        <v>Ознакомиться</v>
      </c>
      <c r="W327" s="8" t="s">
        <v>94</v>
      </c>
      <c r="X327" s="6"/>
      <c r="Y327" s="6"/>
      <c r="Z327" s="6"/>
      <c r="AA327" s="6" t="s">
        <v>2282</v>
      </c>
      <c r="AB327" s="8"/>
    </row>
    <row r="328" spans="1:28" s="4" customFormat="1" ht="51.95" customHeight="1">
      <c r="A328" s="5">
        <v>0</v>
      </c>
      <c r="B328" s="6" t="s">
        <v>2283</v>
      </c>
      <c r="C328" s="7">
        <v>1240</v>
      </c>
      <c r="D328" s="8" t="s">
        <v>2284</v>
      </c>
      <c r="E328" s="8" t="s">
        <v>2285</v>
      </c>
      <c r="F328" s="8" t="s">
        <v>2286</v>
      </c>
      <c r="G328" s="6" t="s">
        <v>90</v>
      </c>
      <c r="H328" s="6" t="s">
        <v>54</v>
      </c>
      <c r="I328" s="8" t="s">
        <v>40</v>
      </c>
      <c r="J328" s="9">
        <v>1</v>
      </c>
      <c r="K328" s="9">
        <v>232</v>
      </c>
      <c r="L328" s="9">
        <v>2026</v>
      </c>
      <c r="M328" s="8" t="s">
        <v>2287</v>
      </c>
      <c r="N328" s="8" t="s">
        <v>1306</v>
      </c>
      <c r="O328" s="8" t="s">
        <v>1307</v>
      </c>
      <c r="P328" s="6" t="s">
        <v>58</v>
      </c>
      <c r="Q328" s="8" t="s">
        <v>45</v>
      </c>
      <c r="R328" s="10" t="s">
        <v>2288</v>
      </c>
      <c r="S328" s="11" t="s">
        <v>2289</v>
      </c>
      <c r="T328" s="6"/>
      <c r="U328" s="24" t="str">
        <f>HYPERLINK("https://media.infra-m.ru/2223/2223142/cover/2223142.jpg", "Обложка")</f>
        <v>Обложка</v>
      </c>
      <c r="V328" s="24" t="str">
        <f>HYPERLINK("https://znanium.ru/catalog/product/2223142", "Ознакомиться")</f>
        <v>Ознакомиться</v>
      </c>
      <c r="W328" s="8" t="s">
        <v>1489</v>
      </c>
      <c r="X328" s="6"/>
      <c r="Y328" s="6"/>
      <c r="Z328" s="6" t="s">
        <v>48</v>
      </c>
      <c r="AA328" s="6" t="s">
        <v>999</v>
      </c>
      <c r="AB328" s="8"/>
    </row>
    <row r="329" spans="1:28" s="4" customFormat="1" ht="51.95" customHeight="1">
      <c r="A329" s="5">
        <v>0</v>
      </c>
      <c r="B329" s="6" t="s">
        <v>2290</v>
      </c>
      <c r="C329" s="7">
        <v>1994</v>
      </c>
      <c r="D329" s="8" t="s">
        <v>2291</v>
      </c>
      <c r="E329" s="8" t="s">
        <v>2292</v>
      </c>
      <c r="F329" s="8" t="s">
        <v>2293</v>
      </c>
      <c r="G329" s="6" t="s">
        <v>90</v>
      </c>
      <c r="H329" s="6" t="s">
        <v>54</v>
      </c>
      <c r="I329" s="8" t="s">
        <v>40</v>
      </c>
      <c r="J329" s="9">
        <v>1</v>
      </c>
      <c r="K329" s="9">
        <v>383</v>
      </c>
      <c r="L329" s="9">
        <v>2026</v>
      </c>
      <c r="M329" s="8" t="s">
        <v>2294</v>
      </c>
      <c r="N329" s="8" t="s">
        <v>125</v>
      </c>
      <c r="O329" s="8" t="s">
        <v>126</v>
      </c>
      <c r="P329" s="6" t="s">
        <v>58</v>
      </c>
      <c r="Q329" s="8" t="s">
        <v>45</v>
      </c>
      <c r="R329" s="10" t="s">
        <v>1005</v>
      </c>
      <c r="S329" s="11" t="s">
        <v>2295</v>
      </c>
      <c r="T329" s="6"/>
      <c r="U329" s="24" t="str">
        <f>HYPERLINK("https://media.infra-m.ru/2222/2222993/cover/2222993.jpg", "Обложка")</f>
        <v>Обложка</v>
      </c>
      <c r="V329" s="24" t="str">
        <f>HYPERLINK("https://znanium.ru/catalog/product/2157600", "Ознакомиться")</f>
        <v>Ознакомиться</v>
      </c>
      <c r="W329" s="8" t="s">
        <v>346</v>
      </c>
      <c r="X329" s="6"/>
      <c r="Y329" s="6"/>
      <c r="Z329" s="6" t="s">
        <v>48</v>
      </c>
      <c r="AA329" s="6" t="s">
        <v>129</v>
      </c>
      <c r="AB329" s="8"/>
    </row>
    <row r="330" spans="1:28" s="4" customFormat="1" ht="51.95" customHeight="1">
      <c r="A330" s="5">
        <v>0</v>
      </c>
      <c r="B330" s="6" t="s">
        <v>2296</v>
      </c>
      <c r="C330" s="7">
        <v>2094</v>
      </c>
      <c r="D330" s="8" t="s">
        <v>2297</v>
      </c>
      <c r="E330" s="8" t="s">
        <v>2298</v>
      </c>
      <c r="F330" s="8" t="s">
        <v>960</v>
      </c>
      <c r="G330" s="6" t="s">
        <v>90</v>
      </c>
      <c r="H330" s="6" t="s">
        <v>39</v>
      </c>
      <c r="I330" s="8" t="s">
        <v>40</v>
      </c>
      <c r="J330" s="9">
        <v>1</v>
      </c>
      <c r="K330" s="9">
        <v>400</v>
      </c>
      <c r="L330" s="9">
        <v>2026</v>
      </c>
      <c r="M330" s="8" t="s">
        <v>2299</v>
      </c>
      <c r="N330" s="8" t="s">
        <v>42</v>
      </c>
      <c r="O330" s="8" t="s">
        <v>43</v>
      </c>
      <c r="P330" s="6" t="s">
        <v>44</v>
      </c>
      <c r="Q330" s="8" t="s">
        <v>45</v>
      </c>
      <c r="R330" s="10" t="s">
        <v>2300</v>
      </c>
      <c r="S330" s="11" t="s">
        <v>2301</v>
      </c>
      <c r="T330" s="6"/>
      <c r="U330" s="24" t="str">
        <f>HYPERLINK("https://media.infra-m.ru/2209/2209244/cover/2209244.jpg", "Обложка")</f>
        <v>Обложка</v>
      </c>
      <c r="V330" s="24" t="str">
        <f>HYPERLINK("https://znanium.ru/catalog/product/2013719", "Ознакомиться")</f>
        <v>Ознакомиться</v>
      </c>
      <c r="W330" s="8" t="s">
        <v>818</v>
      </c>
      <c r="X330" s="6"/>
      <c r="Y330" s="6" t="s">
        <v>30</v>
      </c>
      <c r="Z330" s="6" t="s">
        <v>207</v>
      </c>
      <c r="AA330" s="6" t="s">
        <v>111</v>
      </c>
      <c r="AB330" s="8"/>
    </row>
    <row r="331" spans="1:28" s="4" customFormat="1" ht="51.95" customHeight="1">
      <c r="A331" s="5">
        <v>0</v>
      </c>
      <c r="B331" s="6" t="s">
        <v>2302</v>
      </c>
      <c r="C331" s="7">
        <v>1284</v>
      </c>
      <c r="D331" s="8" t="s">
        <v>2303</v>
      </c>
      <c r="E331" s="8" t="s">
        <v>2304</v>
      </c>
      <c r="F331" s="8" t="s">
        <v>2305</v>
      </c>
      <c r="G331" s="6" t="s">
        <v>90</v>
      </c>
      <c r="H331" s="6" t="s">
        <v>54</v>
      </c>
      <c r="I331" s="8" t="s">
        <v>40</v>
      </c>
      <c r="J331" s="9">
        <v>1</v>
      </c>
      <c r="K331" s="9">
        <v>284</v>
      </c>
      <c r="L331" s="9">
        <v>2023</v>
      </c>
      <c r="M331" s="8" t="s">
        <v>2306</v>
      </c>
      <c r="N331" s="8" t="s">
        <v>42</v>
      </c>
      <c r="O331" s="8" t="s">
        <v>219</v>
      </c>
      <c r="P331" s="6" t="s">
        <v>44</v>
      </c>
      <c r="Q331" s="8" t="s">
        <v>45</v>
      </c>
      <c r="R331" s="10" t="s">
        <v>2307</v>
      </c>
      <c r="S331" s="11" t="s">
        <v>2308</v>
      </c>
      <c r="T331" s="6"/>
      <c r="U331" s="24" t="str">
        <f>HYPERLINK("https://media.infra-m.ru/2045/2045996/cover/2045996.jpg", "Обложка")</f>
        <v>Обложка</v>
      </c>
      <c r="V331" s="24" t="str">
        <f>HYPERLINK("https://znanium.ru/catalog/product/1045095", "Ознакомиться")</f>
        <v>Ознакомиться</v>
      </c>
      <c r="W331" s="8" t="s">
        <v>2309</v>
      </c>
      <c r="X331" s="6"/>
      <c r="Y331" s="6"/>
      <c r="Z331" s="6" t="s">
        <v>48</v>
      </c>
      <c r="AA331" s="6" t="s">
        <v>740</v>
      </c>
      <c r="AB331" s="8"/>
    </row>
    <row r="332" spans="1:28" s="4" customFormat="1" ht="51.95" customHeight="1">
      <c r="A332" s="5">
        <v>0</v>
      </c>
      <c r="B332" s="6" t="s">
        <v>2310</v>
      </c>
      <c r="C332" s="7">
        <v>2700</v>
      </c>
      <c r="D332" s="8" t="s">
        <v>2311</v>
      </c>
      <c r="E332" s="8" t="s">
        <v>2312</v>
      </c>
      <c r="F332" s="8" t="s">
        <v>2313</v>
      </c>
      <c r="G332" s="6" t="s">
        <v>38</v>
      </c>
      <c r="H332" s="6" t="s">
        <v>54</v>
      </c>
      <c r="I332" s="8" t="s">
        <v>40</v>
      </c>
      <c r="J332" s="9">
        <v>1</v>
      </c>
      <c r="K332" s="9">
        <v>576</v>
      </c>
      <c r="L332" s="9">
        <v>2024</v>
      </c>
      <c r="M332" s="8" t="s">
        <v>2314</v>
      </c>
      <c r="N332" s="8" t="s">
        <v>42</v>
      </c>
      <c r="O332" s="8" t="s">
        <v>43</v>
      </c>
      <c r="P332" s="6" t="s">
        <v>58</v>
      </c>
      <c r="Q332" s="8" t="s">
        <v>45</v>
      </c>
      <c r="R332" s="10" t="s">
        <v>2315</v>
      </c>
      <c r="S332" s="11" t="s">
        <v>2316</v>
      </c>
      <c r="T332" s="6"/>
      <c r="U332" s="24" t="str">
        <f>HYPERLINK("https://media.infra-m.ru/2136/2136719/cover/2136719.jpg", "Обложка")</f>
        <v>Обложка</v>
      </c>
      <c r="V332" s="24" t="str">
        <f>HYPERLINK("https://znanium.ru/catalog/product/2136719", "Ознакомиться")</f>
        <v>Ознакомиться</v>
      </c>
      <c r="W332" s="8" t="s">
        <v>172</v>
      </c>
      <c r="X332" s="6"/>
      <c r="Y332" s="6"/>
      <c r="Z332" s="6"/>
      <c r="AA332" s="6" t="s">
        <v>740</v>
      </c>
      <c r="AB332" s="8"/>
    </row>
    <row r="333" spans="1:28" s="4" customFormat="1" ht="51.95" customHeight="1">
      <c r="A333" s="5">
        <v>0</v>
      </c>
      <c r="B333" s="6" t="s">
        <v>2317</v>
      </c>
      <c r="C333" s="7">
        <v>2060</v>
      </c>
      <c r="D333" s="8" t="s">
        <v>2318</v>
      </c>
      <c r="E333" s="8" t="s">
        <v>2319</v>
      </c>
      <c r="F333" s="8" t="s">
        <v>2313</v>
      </c>
      <c r="G333" s="6" t="s">
        <v>38</v>
      </c>
      <c r="H333" s="6" t="s">
        <v>54</v>
      </c>
      <c r="I333" s="8" t="s">
        <v>40</v>
      </c>
      <c r="J333" s="9">
        <v>1</v>
      </c>
      <c r="K333" s="9">
        <v>439</v>
      </c>
      <c r="L333" s="9">
        <v>2024</v>
      </c>
      <c r="M333" s="8" t="s">
        <v>2320</v>
      </c>
      <c r="N333" s="8" t="s">
        <v>42</v>
      </c>
      <c r="O333" s="8" t="s">
        <v>43</v>
      </c>
      <c r="P333" s="6" t="s">
        <v>58</v>
      </c>
      <c r="Q333" s="8" t="s">
        <v>45</v>
      </c>
      <c r="R333" s="10" t="s">
        <v>2321</v>
      </c>
      <c r="S333" s="11" t="s">
        <v>2322</v>
      </c>
      <c r="T333" s="6"/>
      <c r="U333" s="24" t="str">
        <f>HYPERLINK("https://media.infra-m.ru/2136/2136721/cover/2136721.jpg", "Обложка")</f>
        <v>Обложка</v>
      </c>
      <c r="V333" s="24" t="str">
        <f>HYPERLINK("https://znanium.ru/catalog/product/2136721", "Ознакомиться")</f>
        <v>Ознакомиться</v>
      </c>
      <c r="W333" s="8" t="s">
        <v>172</v>
      </c>
      <c r="X333" s="6"/>
      <c r="Y333" s="6"/>
      <c r="Z333" s="6"/>
      <c r="AA333" s="6" t="s">
        <v>740</v>
      </c>
      <c r="AB333" s="8"/>
    </row>
    <row r="334" spans="1:28" s="4" customFormat="1" ht="51.95" customHeight="1">
      <c r="A334" s="5">
        <v>0</v>
      </c>
      <c r="B334" s="6" t="s">
        <v>2323</v>
      </c>
      <c r="C334" s="7">
        <v>2584</v>
      </c>
      <c r="D334" s="8" t="s">
        <v>2324</v>
      </c>
      <c r="E334" s="8" t="s">
        <v>2325</v>
      </c>
      <c r="F334" s="8" t="s">
        <v>2326</v>
      </c>
      <c r="G334" s="6" t="s">
        <v>90</v>
      </c>
      <c r="H334" s="6" t="s">
        <v>54</v>
      </c>
      <c r="I334" s="8" t="s">
        <v>40</v>
      </c>
      <c r="J334" s="9">
        <v>1</v>
      </c>
      <c r="K334" s="9">
        <v>551</v>
      </c>
      <c r="L334" s="9">
        <v>2024</v>
      </c>
      <c r="M334" s="8" t="s">
        <v>2327</v>
      </c>
      <c r="N334" s="8" t="s">
        <v>42</v>
      </c>
      <c r="O334" s="8" t="s">
        <v>43</v>
      </c>
      <c r="P334" s="6" t="s">
        <v>58</v>
      </c>
      <c r="Q334" s="8" t="s">
        <v>45</v>
      </c>
      <c r="R334" s="10" t="s">
        <v>2328</v>
      </c>
      <c r="S334" s="11" t="s">
        <v>2316</v>
      </c>
      <c r="T334" s="6"/>
      <c r="U334" s="24" t="str">
        <f>HYPERLINK("https://media.infra-m.ru/2152/2152132/cover/2152132.jpg", "Обложка")</f>
        <v>Обложка</v>
      </c>
      <c r="V334" s="24" t="str">
        <f>HYPERLINK("https://znanium.ru/catalog/product/1196563", "Ознакомиться")</f>
        <v>Ознакомиться</v>
      </c>
      <c r="W334" s="8" t="s">
        <v>172</v>
      </c>
      <c r="X334" s="6"/>
      <c r="Y334" s="6"/>
      <c r="Z334" s="6"/>
      <c r="AA334" s="6" t="s">
        <v>740</v>
      </c>
      <c r="AB334" s="8" t="s">
        <v>860</v>
      </c>
    </row>
    <row r="335" spans="1:28" s="4" customFormat="1" ht="51.95" customHeight="1">
      <c r="A335" s="5">
        <v>0</v>
      </c>
      <c r="B335" s="6" t="s">
        <v>2329</v>
      </c>
      <c r="C335" s="7">
        <v>1490</v>
      </c>
      <c r="D335" s="8" t="s">
        <v>2330</v>
      </c>
      <c r="E335" s="8" t="s">
        <v>2331</v>
      </c>
      <c r="F335" s="8" t="s">
        <v>2332</v>
      </c>
      <c r="G335" s="6" t="s">
        <v>90</v>
      </c>
      <c r="H335" s="6" t="s">
        <v>54</v>
      </c>
      <c r="I335" s="8" t="s">
        <v>40</v>
      </c>
      <c r="J335" s="9">
        <v>1</v>
      </c>
      <c r="K335" s="9">
        <v>330</v>
      </c>
      <c r="L335" s="9">
        <v>2023</v>
      </c>
      <c r="M335" s="8" t="s">
        <v>2333</v>
      </c>
      <c r="N335" s="8" t="s">
        <v>42</v>
      </c>
      <c r="O335" s="8" t="s">
        <v>43</v>
      </c>
      <c r="P335" s="6" t="s">
        <v>44</v>
      </c>
      <c r="Q335" s="8" t="s">
        <v>45</v>
      </c>
      <c r="R335" s="10" t="s">
        <v>2334</v>
      </c>
      <c r="S335" s="11" t="s">
        <v>2335</v>
      </c>
      <c r="T335" s="6"/>
      <c r="U335" s="24" t="str">
        <f>HYPERLINK("https://media.infra-m.ru/1964/1964965/cover/1964965.jpg", "Обложка")</f>
        <v>Обложка</v>
      </c>
      <c r="V335" s="24" t="str">
        <f>HYPERLINK("https://znanium.ru/catalog/product/1964965", "Ознакомиться")</f>
        <v>Ознакомиться</v>
      </c>
      <c r="W335" s="8" t="s">
        <v>73</v>
      </c>
      <c r="X335" s="6"/>
      <c r="Y335" s="6"/>
      <c r="Z335" s="6" t="s">
        <v>48</v>
      </c>
      <c r="AA335" s="6" t="s">
        <v>563</v>
      </c>
      <c r="AB335" s="8"/>
    </row>
    <row r="336" spans="1:28" s="4" customFormat="1" ht="42" customHeight="1">
      <c r="A336" s="5">
        <v>0</v>
      </c>
      <c r="B336" s="6" t="s">
        <v>2336</v>
      </c>
      <c r="C336" s="7">
        <v>2230</v>
      </c>
      <c r="D336" s="8" t="s">
        <v>2337</v>
      </c>
      <c r="E336" s="8" t="s">
        <v>2338</v>
      </c>
      <c r="F336" s="8" t="s">
        <v>960</v>
      </c>
      <c r="G336" s="6" t="s">
        <v>38</v>
      </c>
      <c r="H336" s="6" t="s">
        <v>39</v>
      </c>
      <c r="I336" s="8" t="s">
        <v>40</v>
      </c>
      <c r="J336" s="9">
        <v>1</v>
      </c>
      <c r="K336" s="9">
        <v>445</v>
      </c>
      <c r="L336" s="9">
        <v>2025</v>
      </c>
      <c r="M336" s="8" t="s">
        <v>2339</v>
      </c>
      <c r="N336" s="8" t="s">
        <v>42</v>
      </c>
      <c r="O336" s="8" t="s">
        <v>43</v>
      </c>
      <c r="P336" s="6" t="s">
        <v>44</v>
      </c>
      <c r="Q336" s="8" t="s">
        <v>45</v>
      </c>
      <c r="R336" s="10" t="s">
        <v>2340</v>
      </c>
      <c r="S336" s="11"/>
      <c r="T336" s="6"/>
      <c r="U336" s="24" t="str">
        <f>HYPERLINK("https://media.infra-m.ru/0967/0967464/cover/967464.jpg", "Обложка")</f>
        <v>Обложка</v>
      </c>
      <c r="V336" s="24" t="str">
        <f>HYPERLINK("https://znanium.ru/catalog/product/967464", "Ознакомиться")</f>
        <v>Ознакомиться</v>
      </c>
      <c r="W336" s="8" t="s">
        <v>818</v>
      </c>
      <c r="X336" s="6"/>
      <c r="Y336" s="6"/>
      <c r="Z336" s="6" t="s">
        <v>48</v>
      </c>
      <c r="AA336" s="6" t="s">
        <v>231</v>
      </c>
      <c r="AB336" s="8"/>
    </row>
    <row r="337" spans="1:28" s="4" customFormat="1" ht="44.1" customHeight="1">
      <c r="A337" s="5">
        <v>0</v>
      </c>
      <c r="B337" s="6" t="s">
        <v>2341</v>
      </c>
      <c r="C337" s="7">
        <v>1650</v>
      </c>
      <c r="D337" s="8" t="s">
        <v>2342</v>
      </c>
      <c r="E337" s="8" t="s">
        <v>2343</v>
      </c>
      <c r="F337" s="8" t="s">
        <v>2344</v>
      </c>
      <c r="G337" s="6" t="s">
        <v>38</v>
      </c>
      <c r="H337" s="6" t="s">
        <v>54</v>
      </c>
      <c r="I337" s="8" t="s">
        <v>40</v>
      </c>
      <c r="J337" s="9">
        <v>1</v>
      </c>
      <c r="K337" s="9">
        <v>326</v>
      </c>
      <c r="L337" s="9">
        <v>2025</v>
      </c>
      <c r="M337" s="8" t="s">
        <v>2345</v>
      </c>
      <c r="N337" s="8" t="s">
        <v>42</v>
      </c>
      <c r="O337" s="8" t="s">
        <v>43</v>
      </c>
      <c r="P337" s="6" t="s">
        <v>44</v>
      </c>
      <c r="Q337" s="8" t="s">
        <v>45</v>
      </c>
      <c r="R337" s="10" t="s">
        <v>2346</v>
      </c>
      <c r="S337" s="11"/>
      <c r="T337" s="6" t="s">
        <v>118</v>
      </c>
      <c r="U337" s="24" t="str">
        <f>HYPERLINK("https://media.infra-m.ru/2110/2110964/cover/2110964.jpg", "Обложка")</f>
        <v>Обложка</v>
      </c>
      <c r="V337" s="24" t="str">
        <f>HYPERLINK("https://znanium.ru/catalog/product/2110964", "Ознакомиться")</f>
        <v>Ознакомиться</v>
      </c>
      <c r="W337" s="8" t="s">
        <v>2347</v>
      </c>
      <c r="X337" s="6"/>
      <c r="Y337" s="6"/>
      <c r="Z337" s="6"/>
      <c r="AA337" s="6" t="s">
        <v>84</v>
      </c>
      <c r="AB337" s="8" t="s">
        <v>710</v>
      </c>
    </row>
    <row r="338" spans="1:28" s="4" customFormat="1" ht="51.95" customHeight="1">
      <c r="A338" s="5">
        <v>0</v>
      </c>
      <c r="B338" s="6" t="s">
        <v>2348</v>
      </c>
      <c r="C338" s="7">
        <v>1840</v>
      </c>
      <c r="D338" s="8" t="s">
        <v>2349</v>
      </c>
      <c r="E338" s="8" t="s">
        <v>2350</v>
      </c>
      <c r="F338" s="8" t="s">
        <v>2351</v>
      </c>
      <c r="G338" s="6" t="s">
        <v>90</v>
      </c>
      <c r="H338" s="6" t="s">
        <v>299</v>
      </c>
      <c r="I338" s="8" t="s">
        <v>40</v>
      </c>
      <c r="J338" s="9">
        <v>1</v>
      </c>
      <c r="K338" s="9">
        <v>367</v>
      </c>
      <c r="L338" s="9">
        <v>2025</v>
      </c>
      <c r="M338" s="8" t="s">
        <v>2352</v>
      </c>
      <c r="N338" s="8" t="s">
        <v>42</v>
      </c>
      <c r="O338" s="8" t="s">
        <v>43</v>
      </c>
      <c r="P338" s="6" t="s">
        <v>44</v>
      </c>
      <c r="Q338" s="8" t="s">
        <v>45</v>
      </c>
      <c r="R338" s="10" t="s">
        <v>2353</v>
      </c>
      <c r="S338" s="11" t="s">
        <v>420</v>
      </c>
      <c r="T338" s="6"/>
      <c r="U338" s="24" t="str">
        <f>HYPERLINK("https://media.infra-m.ru/2166/2166193/cover/2166193.jpg", "Обложка")</f>
        <v>Обложка</v>
      </c>
      <c r="V338" s="24" t="str">
        <f>HYPERLINK("https://znanium.ru/catalog/product/2166193", "Ознакомиться")</f>
        <v>Ознакомиться</v>
      </c>
      <c r="W338" s="8" t="s">
        <v>834</v>
      </c>
      <c r="X338" s="6"/>
      <c r="Y338" s="6" t="s">
        <v>30</v>
      </c>
      <c r="Z338" s="6"/>
      <c r="AA338" s="6" t="s">
        <v>304</v>
      </c>
      <c r="AB338" s="8"/>
    </row>
    <row r="339" spans="1:28" s="4" customFormat="1" ht="42" customHeight="1">
      <c r="A339" s="5">
        <v>0</v>
      </c>
      <c r="B339" s="6" t="s">
        <v>2354</v>
      </c>
      <c r="C339" s="7">
        <v>1020</v>
      </c>
      <c r="D339" s="8" t="s">
        <v>2355</v>
      </c>
      <c r="E339" s="8" t="s">
        <v>2350</v>
      </c>
      <c r="F339" s="8" t="s">
        <v>953</v>
      </c>
      <c r="G339" s="6" t="s">
        <v>38</v>
      </c>
      <c r="H339" s="6" t="s">
        <v>54</v>
      </c>
      <c r="I339" s="8" t="s">
        <v>40</v>
      </c>
      <c r="J339" s="9">
        <v>1</v>
      </c>
      <c r="K339" s="9">
        <v>186</v>
      </c>
      <c r="L339" s="9">
        <v>2025</v>
      </c>
      <c r="M339" s="8" t="s">
        <v>2356</v>
      </c>
      <c r="N339" s="8" t="s">
        <v>42</v>
      </c>
      <c r="O339" s="8" t="s">
        <v>43</v>
      </c>
      <c r="P339" s="6" t="s">
        <v>44</v>
      </c>
      <c r="Q339" s="8" t="s">
        <v>45</v>
      </c>
      <c r="R339" s="10" t="s">
        <v>908</v>
      </c>
      <c r="S339" s="11"/>
      <c r="T339" s="6"/>
      <c r="U339" s="24" t="str">
        <f>HYPERLINK("https://media.infra-m.ru/1171/1171935/cover/1171935.jpg", "Обложка")</f>
        <v>Обложка</v>
      </c>
      <c r="V339" s="24" t="str">
        <f>HYPERLINK("https://znanium.ru/catalog/product/1171935", "Ознакомиться")</f>
        <v>Ознакомиться</v>
      </c>
      <c r="W339" s="8" t="s">
        <v>956</v>
      </c>
      <c r="X339" s="6" t="s">
        <v>727</v>
      </c>
      <c r="Y339" s="6"/>
      <c r="Z339" s="6"/>
      <c r="AA339" s="6" t="s">
        <v>84</v>
      </c>
      <c r="AB339" s="8"/>
    </row>
    <row r="340" spans="1:28" s="4" customFormat="1" ht="51.95" customHeight="1">
      <c r="A340" s="5">
        <v>0</v>
      </c>
      <c r="B340" s="6" t="s">
        <v>2357</v>
      </c>
      <c r="C340" s="7">
        <v>1524</v>
      </c>
      <c r="D340" s="8" t="s">
        <v>2358</v>
      </c>
      <c r="E340" s="8" t="s">
        <v>2350</v>
      </c>
      <c r="F340" s="8" t="s">
        <v>2359</v>
      </c>
      <c r="G340" s="6" t="s">
        <v>90</v>
      </c>
      <c r="H340" s="6" t="s">
        <v>54</v>
      </c>
      <c r="I340" s="8" t="s">
        <v>40</v>
      </c>
      <c r="J340" s="9">
        <v>1</v>
      </c>
      <c r="K340" s="9">
        <v>277</v>
      </c>
      <c r="L340" s="9">
        <v>2026</v>
      </c>
      <c r="M340" s="8" t="s">
        <v>2360</v>
      </c>
      <c r="N340" s="8" t="s">
        <v>42</v>
      </c>
      <c r="O340" s="8" t="s">
        <v>43</v>
      </c>
      <c r="P340" s="6" t="s">
        <v>44</v>
      </c>
      <c r="Q340" s="8" t="s">
        <v>45</v>
      </c>
      <c r="R340" s="10" t="s">
        <v>2361</v>
      </c>
      <c r="S340" s="11" t="s">
        <v>2362</v>
      </c>
      <c r="T340" s="6"/>
      <c r="U340" s="24" t="str">
        <f>HYPERLINK("https://media.infra-m.ru/2227/2227118/cover/2227118.jpg", "Обложка")</f>
        <v>Обложка</v>
      </c>
      <c r="V340" s="24" t="str">
        <f>HYPERLINK("https://znanium.ru/catalog/product/2214861", "Ознакомиться")</f>
        <v>Ознакомиться</v>
      </c>
      <c r="W340" s="8" t="s">
        <v>2363</v>
      </c>
      <c r="X340" s="6"/>
      <c r="Y340" s="6" t="s">
        <v>30</v>
      </c>
      <c r="Z340" s="6"/>
      <c r="AA340" s="6" t="s">
        <v>500</v>
      </c>
      <c r="AB340" s="8"/>
    </row>
    <row r="341" spans="1:28" s="4" customFormat="1" ht="42" customHeight="1">
      <c r="A341" s="5">
        <v>0</v>
      </c>
      <c r="B341" s="6" t="s">
        <v>2364</v>
      </c>
      <c r="C341" s="7">
        <v>2800</v>
      </c>
      <c r="D341" s="8" t="s">
        <v>2365</v>
      </c>
      <c r="E341" s="8" t="s">
        <v>2366</v>
      </c>
      <c r="F341" s="8" t="s">
        <v>2367</v>
      </c>
      <c r="G341" s="6" t="s">
        <v>38</v>
      </c>
      <c r="H341" s="6" t="s">
        <v>359</v>
      </c>
      <c r="I341" s="8" t="s">
        <v>40</v>
      </c>
      <c r="J341" s="9">
        <v>1</v>
      </c>
      <c r="K341" s="9">
        <v>436</v>
      </c>
      <c r="L341" s="9">
        <v>2025</v>
      </c>
      <c r="M341" s="8" t="s">
        <v>2368</v>
      </c>
      <c r="N341" s="8" t="s">
        <v>125</v>
      </c>
      <c r="O341" s="8" t="s">
        <v>352</v>
      </c>
      <c r="P341" s="6" t="s">
        <v>58</v>
      </c>
      <c r="Q341" s="8" t="s">
        <v>45</v>
      </c>
      <c r="R341" s="10" t="s">
        <v>108</v>
      </c>
      <c r="S341" s="11"/>
      <c r="T341" s="6"/>
      <c r="U341" s="24" t="str">
        <f>HYPERLINK("https://media.infra-m.ru/2187/2187056/cover/2187056.jpg", "Обложка")</f>
        <v>Обложка</v>
      </c>
      <c r="V341" s="24" t="str">
        <f>HYPERLINK("https://znanium.ru/catalog/product/2187056", "Ознакомиться")</f>
        <v>Ознакомиться</v>
      </c>
      <c r="W341" s="8" t="s">
        <v>379</v>
      </c>
      <c r="X341" s="6" t="s">
        <v>727</v>
      </c>
      <c r="Y341" s="6"/>
      <c r="Z341" s="6"/>
      <c r="AA341" s="6" t="s">
        <v>84</v>
      </c>
      <c r="AB341" s="8"/>
    </row>
    <row r="342" spans="1:28" s="4" customFormat="1" ht="51.95" customHeight="1">
      <c r="A342" s="5">
        <v>0</v>
      </c>
      <c r="B342" s="6" t="s">
        <v>2369</v>
      </c>
      <c r="C342" s="7">
        <v>1584.9</v>
      </c>
      <c r="D342" s="8" t="s">
        <v>2370</v>
      </c>
      <c r="E342" s="8" t="s">
        <v>2371</v>
      </c>
      <c r="F342" s="8" t="s">
        <v>2372</v>
      </c>
      <c r="G342" s="6" t="s">
        <v>90</v>
      </c>
      <c r="H342" s="6" t="s">
        <v>299</v>
      </c>
      <c r="I342" s="8" t="s">
        <v>40</v>
      </c>
      <c r="J342" s="9">
        <v>1</v>
      </c>
      <c r="K342" s="9">
        <v>352</v>
      </c>
      <c r="L342" s="9">
        <v>2023</v>
      </c>
      <c r="M342" s="8" t="s">
        <v>2373</v>
      </c>
      <c r="N342" s="8" t="s">
        <v>42</v>
      </c>
      <c r="O342" s="8" t="s">
        <v>43</v>
      </c>
      <c r="P342" s="6" t="s">
        <v>44</v>
      </c>
      <c r="Q342" s="8" t="s">
        <v>45</v>
      </c>
      <c r="R342" s="10" t="s">
        <v>2374</v>
      </c>
      <c r="S342" s="11" t="s">
        <v>2375</v>
      </c>
      <c r="T342" s="6"/>
      <c r="U342" s="24" t="str">
        <f>HYPERLINK("https://media.infra-m.ru/1998/1998745/cover/1998745.jpg", "Обложка")</f>
        <v>Обложка</v>
      </c>
      <c r="V342" s="24" t="str">
        <f>HYPERLINK("https://znanium.ru/catalog/product/1541012", "Ознакомиться")</f>
        <v>Ознакомиться</v>
      </c>
      <c r="W342" s="8" t="s">
        <v>834</v>
      </c>
      <c r="X342" s="6"/>
      <c r="Y342" s="6"/>
      <c r="Z342" s="6" t="s">
        <v>48</v>
      </c>
      <c r="AA342" s="6" t="s">
        <v>740</v>
      </c>
      <c r="AB342" s="8"/>
    </row>
    <row r="343" spans="1:28" s="4" customFormat="1" ht="42" customHeight="1">
      <c r="A343" s="5">
        <v>0</v>
      </c>
      <c r="B343" s="6" t="s">
        <v>2376</v>
      </c>
      <c r="C343" s="7">
        <v>1270</v>
      </c>
      <c r="D343" s="8" t="s">
        <v>2377</v>
      </c>
      <c r="E343" s="8" t="s">
        <v>2371</v>
      </c>
      <c r="F343" s="8" t="s">
        <v>953</v>
      </c>
      <c r="G343" s="6" t="s">
        <v>38</v>
      </c>
      <c r="H343" s="6" t="s">
        <v>54</v>
      </c>
      <c r="I343" s="8" t="s">
        <v>40</v>
      </c>
      <c r="J343" s="9">
        <v>1</v>
      </c>
      <c r="K343" s="9">
        <v>234</v>
      </c>
      <c r="L343" s="9">
        <v>2025</v>
      </c>
      <c r="M343" s="8" t="s">
        <v>2378</v>
      </c>
      <c r="N343" s="8" t="s">
        <v>42</v>
      </c>
      <c r="O343" s="8" t="s">
        <v>43</v>
      </c>
      <c r="P343" s="6" t="s">
        <v>58</v>
      </c>
      <c r="Q343" s="8" t="s">
        <v>45</v>
      </c>
      <c r="R343" s="10" t="s">
        <v>2379</v>
      </c>
      <c r="S343" s="11"/>
      <c r="T343" s="6"/>
      <c r="U343" s="24" t="str">
        <f>HYPERLINK("https://media.infra-m.ru/1171/1171960/cover/1171960.jpg", "Обложка")</f>
        <v>Обложка</v>
      </c>
      <c r="V343" s="24" t="str">
        <f>HYPERLINK("https://znanium.ru/catalog/product/1171960", "Ознакомиться")</f>
        <v>Ознакомиться</v>
      </c>
      <c r="W343" s="8" t="s">
        <v>956</v>
      </c>
      <c r="X343" s="6" t="s">
        <v>1019</v>
      </c>
      <c r="Y343" s="6"/>
      <c r="Z343" s="6"/>
      <c r="AA343" s="6" t="s">
        <v>84</v>
      </c>
      <c r="AB343" s="8"/>
    </row>
    <row r="344" spans="1:28" s="4" customFormat="1" ht="51.95" customHeight="1">
      <c r="A344" s="5">
        <v>0</v>
      </c>
      <c r="B344" s="6" t="s">
        <v>2380</v>
      </c>
      <c r="C344" s="7">
        <v>1170</v>
      </c>
      <c r="D344" s="8" t="s">
        <v>2381</v>
      </c>
      <c r="E344" s="8" t="s">
        <v>2382</v>
      </c>
      <c r="F344" s="8" t="s">
        <v>2383</v>
      </c>
      <c r="G344" s="6" t="s">
        <v>38</v>
      </c>
      <c r="H344" s="6" t="s">
        <v>68</v>
      </c>
      <c r="I344" s="8" t="s">
        <v>69</v>
      </c>
      <c r="J344" s="9">
        <v>1</v>
      </c>
      <c r="K344" s="9">
        <v>344</v>
      </c>
      <c r="L344" s="9">
        <v>2020</v>
      </c>
      <c r="M344" s="8" t="s">
        <v>2384</v>
      </c>
      <c r="N344" s="8" t="s">
        <v>42</v>
      </c>
      <c r="O344" s="8" t="s">
        <v>43</v>
      </c>
      <c r="P344" s="6" t="s">
        <v>44</v>
      </c>
      <c r="Q344" s="8" t="s">
        <v>45</v>
      </c>
      <c r="R344" s="10" t="s">
        <v>2385</v>
      </c>
      <c r="S344" s="11"/>
      <c r="T344" s="6" t="s">
        <v>118</v>
      </c>
      <c r="U344" s="24" t="str">
        <f>HYPERLINK("https://media.infra-m.ru/1043/1043097/cover/1043097.jpg", "Обложка")</f>
        <v>Обложка</v>
      </c>
      <c r="V344" s="24" t="str">
        <f>HYPERLINK("https://znanium.ru/catalog/product/1902847", "Ознакомиться")</f>
        <v>Ознакомиться</v>
      </c>
      <c r="W344" s="8" t="s">
        <v>2386</v>
      </c>
      <c r="X344" s="6"/>
      <c r="Y344" s="6"/>
      <c r="Z344" s="6" t="s">
        <v>48</v>
      </c>
      <c r="AA344" s="6" t="s">
        <v>740</v>
      </c>
      <c r="AB344" s="8"/>
    </row>
    <row r="345" spans="1:28" s="4" customFormat="1" ht="42" customHeight="1">
      <c r="A345" s="5">
        <v>0</v>
      </c>
      <c r="B345" s="6" t="s">
        <v>2387</v>
      </c>
      <c r="C345" s="7">
        <v>1630</v>
      </c>
      <c r="D345" s="8" t="s">
        <v>2388</v>
      </c>
      <c r="E345" s="8" t="s">
        <v>2389</v>
      </c>
      <c r="F345" s="8" t="s">
        <v>2390</v>
      </c>
      <c r="G345" s="6" t="s">
        <v>38</v>
      </c>
      <c r="H345" s="6" t="s">
        <v>54</v>
      </c>
      <c r="I345" s="8" t="s">
        <v>40</v>
      </c>
      <c r="J345" s="9">
        <v>1</v>
      </c>
      <c r="K345" s="9">
        <v>293</v>
      </c>
      <c r="L345" s="9">
        <v>2025</v>
      </c>
      <c r="M345" s="8" t="s">
        <v>2391</v>
      </c>
      <c r="N345" s="8" t="s">
        <v>42</v>
      </c>
      <c r="O345" s="8" t="s">
        <v>43</v>
      </c>
      <c r="P345" s="6" t="s">
        <v>44</v>
      </c>
      <c r="Q345" s="8" t="s">
        <v>45</v>
      </c>
      <c r="R345" s="10" t="s">
        <v>2315</v>
      </c>
      <c r="S345" s="11"/>
      <c r="T345" s="6"/>
      <c r="U345" s="24" t="str">
        <f>HYPERLINK("https://media.infra-m.ru/2132/2132109/cover/2132109.jpg", "Обложка")</f>
        <v>Обложка</v>
      </c>
      <c r="V345" s="24" t="str">
        <f>HYPERLINK("https://znanium.ru/catalog/product/2132109", "Ознакомиться")</f>
        <v>Ознакомиться</v>
      </c>
      <c r="W345" s="8" t="s">
        <v>2392</v>
      </c>
      <c r="X345" s="6" t="s">
        <v>1400</v>
      </c>
      <c r="Y345" s="6"/>
      <c r="Z345" s="6"/>
      <c r="AA345" s="6" t="s">
        <v>84</v>
      </c>
      <c r="AB345" s="8" t="s">
        <v>232</v>
      </c>
    </row>
    <row r="346" spans="1:28" s="4" customFormat="1" ht="51.95" customHeight="1">
      <c r="A346" s="5">
        <v>0</v>
      </c>
      <c r="B346" s="6" t="s">
        <v>2393</v>
      </c>
      <c r="C346" s="7">
        <v>1100</v>
      </c>
      <c r="D346" s="8" t="s">
        <v>2394</v>
      </c>
      <c r="E346" s="8" t="s">
        <v>2395</v>
      </c>
      <c r="F346" s="8" t="s">
        <v>2245</v>
      </c>
      <c r="G346" s="6" t="s">
        <v>90</v>
      </c>
      <c r="H346" s="6" t="s">
        <v>54</v>
      </c>
      <c r="I346" s="8" t="s">
        <v>40</v>
      </c>
      <c r="J346" s="9">
        <v>1</v>
      </c>
      <c r="K346" s="9">
        <v>227</v>
      </c>
      <c r="L346" s="9">
        <v>2023</v>
      </c>
      <c r="M346" s="8" t="s">
        <v>2396</v>
      </c>
      <c r="N346" s="8" t="s">
        <v>125</v>
      </c>
      <c r="O346" s="8" t="s">
        <v>126</v>
      </c>
      <c r="P346" s="6" t="s">
        <v>44</v>
      </c>
      <c r="Q346" s="8" t="s">
        <v>45</v>
      </c>
      <c r="R346" s="10" t="s">
        <v>2397</v>
      </c>
      <c r="S346" s="11" t="s">
        <v>2398</v>
      </c>
      <c r="T346" s="6"/>
      <c r="U346" s="24" t="str">
        <f>HYPERLINK("https://media.infra-m.ru/1964/1964982/cover/1964982.jpg", "Обложка")</f>
        <v>Обложка</v>
      </c>
      <c r="V346" s="24" t="str">
        <f>HYPERLINK("https://znanium.ru/catalog/product/1964982", "Ознакомиться")</f>
        <v>Ознакомиться</v>
      </c>
      <c r="W346" s="8"/>
      <c r="X346" s="6"/>
      <c r="Y346" s="6"/>
      <c r="Z346" s="6"/>
      <c r="AA346" s="6" t="s">
        <v>500</v>
      </c>
      <c r="AB346" s="8"/>
    </row>
    <row r="347" spans="1:28" s="4" customFormat="1" ht="51.95" customHeight="1">
      <c r="A347" s="5">
        <v>0</v>
      </c>
      <c r="B347" s="6" t="s">
        <v>2399</v>
      </c>
      <c r="C347" s="7">
        <v>1544</v>
      </c>
      <c r="D347" s="8" t="s">
        <v>2400</v>
      </c>
      <c r="E347" s="8" t="s">
        <v>2401</v>
      </c>
      <c r="F347" s="8" t="s">
        <v>1713</v>
      </c>
      <c r="G347" s="6" t="s">
        <v>90</v>
      </c>
      <c r="H347" s="6" t="s">
        <v>54</v>
      </c>
      <c r="I347" s="8" t="s">
        <v>40</v>
      </c>
      <c r="J347" s="9">
        <v>1</v>
      </c>
      <c r="K347" s="9">
        <v>296</v>
      </c>
      <c r="L347" s="9">
        <v>2025</v>
      </c>
      <c r="M347" s="8" t="s">
        <v>2402</v>
      </c>
      <c r="N347" s="8" t="s">
        <v>42</v>
      </c>
      <c r="O347" s="8" t="s">
        <v>243</v>
      </c>
      <c r="P347" s="6" t="s">
        <v>58</v>
      </c>
      <c r="Q347" s="8" t="s">
        <v>45</v>
      </c>
      <c r="R347" s="10" t="s">
        <v>2403</v>
      </c>
      <c r="S347" s="11" t="s">
        <v>245</v>
      </c>
      <c r="T347" s="6"/>
      <c r="U347" s="24" t="str">
        <f>HYPERLINK("https://media.infra-m.ru/2198/2198143/cover/2198143.jpg", "Обложка")</f>
        <v>Обложка</v>
      </c>
      <c r="V347" s="24" t="str">
        <f>HYPERLINK("https://znanium.ru/catalog/product/1099207", "Ознакомиться")</f>
        <v>Ознакомиться</v>
      </c>
      <c r="W347" s="8" t="s">
        <v>172</v>
      </c>
      <c r="X347" s="6"/>
      <c r="Y347" s="6"/>
      <c r="Z347" s="6" t="s">
        <v>48</v>
      </c>
      <c r="AA347" s="6" t="s">
        <v>129</v>
      </c>
      <c r="AB347" s="8"/>
    </row>
    <row r="348" spans="1:28" s="4" customFormat="1" ht="51.95" customHeight="1">
      <c r="A348" s="5">
        <v>0</v>
      </c>
      <c r="B348" s="6" t="s">
        <v>2404</v>
      </c>
      <c r="C348" s="7">
        <v>1220</v>
      </c>
      <c r="D348" s="8" t="s">
        <v>2405</v>
      </c>
      <c r="E348" s="8" t="s">
        <v>2406</v>
      </c>
      <c r="F348" s="8" t="s">
        <v>1713</v>
      </c>
      <c r="G348" s="6" t="s">
        <v>90</v>
      </c>
      <c r="H348" s="6" t="s">
        <v>39</v>
      </c>
      <c r="I348" s="8" t="s">
        <v>40</v>
      </c>
      <c r="J348" s="9">
        <v>1</v>
      </c>
      <c r="K348" s="9">
        <v>224</v>
      </c>
      <c r="L348" s="9">
        <v>2025</v>
      </c>
      <c r="M348" s="8" t="s">
        <v>2407</v>
      </c>
      <c r="N348" s="8" t="s">
        <v>42</v>
      </c>
      <c r="O348" s="8" t="s">
        <v>243</v>
      </c>
      <c r="P348" s="6" t="s">
        <v>44</v>
      </c>
      <c r="Q348" s="8" t="s">
        <v>45</v>
      </c>
      <c r="R348" s="10" t="s">
        <v>2408</v>
      </c>
      <c r="S348" s="11" t="s">
        <v>1857</v>
      </c>
      <c r="T348" s="6"/>
      <c r="U348" s="24" t="str">
        <f>HYPERLINK("https://media.infra-m.ru/2125/2125850/cover/2125850.jpg", "Обложка")</f>
        <v>Обложка</v>
      </c>
      <c r="V348" s="24" t="str">
        <f>HYPERLINK("https://znanium.ru/catalog/product/2125850", "Ознакомиться")</f>
        <v>Ознакомиться</v>
      </c>
      <c r="W348" s="8" t="s">
        <v>172</v>
      </c>
      <c r="X348" s="6"/>
      <c r="Y348" s="6"/>
      <c r="Z348" s="6" t="s">
        <v>48</v>
      </c>
      <c r="AA348" s="6" t="s">
        <v>74</v>
      </c>
      <c r="AB348" s="8"/>
    </row>
    <row r="349" spans="1:28" s="4" customFormat="1" ht="51.95" customHeight="1">
      <c r="A349" s="5">
        <v>0</v>
      </c>
      <c r="B349" s="6" t="s">
        <v>2409</v>
      </c>
      <c r="C349" s="7">
        <v>1904</v>
      </c>
      <c r="D349" s="8" t="s">
        <v>2410</v>
      </c>
      <c r="E349" s="8" t="s">
        <v>2411</v>
      </c>
      <c r="F349" s="8" t="s">
        <v>2412</v>
      </c>
      <c r="G349" s="6" t="s">
        <v>90</v>
      </c>
      <c r="H349" s="6" t="s">
        <v>54</v>
      </c>
      <c r="I349" s="8" t="s">
        <v>40</v>
      </c>
      <c r="J349" s="9">
        <v>1</v>
      </c>
      <c r="K349" s="9">
        <v>367</v>
      </c>
      <c r="L349" s="9">
        <v>2026</v>
      </c>
      <c r="M349" s="8" t="s">
        <v>2413</v>
      </c>
      <c r="N349" s="8" t="s">
        <v>56</v>
      </c>
      <c r="O349" s="8" t="s">
        <v>807</v>
      </c>
      <c r="P349" s="6" t="s">
        <v>44</v>
      </c>
      <c r="Q349" s="8" t="s">
        <v>45</v>
      </c>
      <c r="R349" s="10" t="s">
        <v>2414</v>
      </c>
      <c r="S349" s="11" t="s">
        <v>2415</v>
      </c>
      <c r="T349" s="6"/>
      <c r="U349" s="24" t="str">
        <f>HYPERLINK("https://media.infra-m.ru/2224/2224155/cover/2224155.jpg", "Обложка")</f>
        <v>Обложка</v>
      </c>
      <c r="V349" s="24" t="str">
        <f>HYPERLINK("https://znanium.ru/catalog/product/1930719", "Ознакомиться")</f>
        <v>Ознакомиться</v>
      </c>
      <c r="W349" s="8" t="s">
        <v>2416</v>
      </c>
      <c r="X349" s="6"/>
      <c r="Y349" s="6"/>
      <c r="Z349" s="6"/>
      <c r="AA349" s="6" t="s">
        <v>1526</v>
      </c>
      <c r="AB349" s="8"/>
    </row>
    <row r="350" spans="1:28" s="4" customFormat="1" ht="51.95" customHeight="1">
      <c r="A350" s="5">
        <v>0</v>
      </c>
      <c r="B350" s="6" t="s">
        <v>2417</v>
      </c>
      <c r="C350" s="7">
        <v>1992</v>
      </c>
      <c r="D350" s="8" t="s">
        <v>2418</v>
      </c>
      <c r="E350" s="8" t="s">
        <v>2419</v>
      </c>
      <c r="F350" s="8" t="s">
        <v>2420</v>
      </c>
      <c r="G350" s="6" t="s">
        <v>90</v>
      </c>
      <c r="H350" s="6" t="s">
        <v>54</v>
      </c>
      <c r="I350" s="8" t="s">
        <v>40</v>
      </c>
      <c r="J350" s="9">
        <v>1</v>
      </c>
      <c r="K350" s="9">
        <v>231</v>
      </c>
      <c r="L350" s="9">
        <v>2026</v>
      </c>
      <c r="M350" s="8" t="s">
        <v>2421</v>
      </c>
      <c r="N350" s="8" t="s">
        <v>42</v>
      </c>
      <c r="O350" s="8" t="s">
        <v>169</v>
      </c>
      <c r="P350" s="6" t="s">
        <v>44</v>
      </c>
      <c r="Q350" s="8" t="s">
        <v>45</v>
      </c>
      <c r="R350" s="10" t="s">
        <v>1990</v>
      </c>
      <c r="S350" s="11" t="s">
        <v>2422</v>
      </c>
      <c r="T350" s="6"/>
      <c r="U350" s="24" t="str">
        <f>HYPERLINK("https://media.infra-m.ru/2192/2192489/cover/2192489.jpg", "Обложка")</f>
        <v>Обложка</v>
      </c>
      <c r="V350" s="24" t="str">
        <f>HYPERLINK("https://znanium.ru/catalog/product/2192489", "Ознакомиться")</f>
        <v>Ознакомиться</v>
      </c>
      <c r="W350" s="8" t="s">
        <v>2423</v>
      </c>
      <c r="X350" s="6"/>
      <c r="Y350" s="6"/>
      <c r="Z350" s="6" t="s">
        <v>207</v>
      </c>
      <c r="AA350" s="6" t="s">
        <v>223</v>
      </c>
      <c r="AB350" s="8"/>
    </row>
    <row r="351" spans="1:28" s="4" customFormat="1" ht="51.95" customHeight="1">
      <c r="A351" s="5">
        <v>0</v>
      </c>
      <c r="B351" s="6" t="s">
        <v>2424</v>
      </c>
      <c r="C351" s="7">
        <v>1194</v>
      </c>
      <c r="D351" s="8" t="s">
        <v>2425</v>
      </c>
      <c r="E351" s="8" t="s">
        <v>2426</v>
      </c>
      <c r="F351" s="8" t="s">
        <v>2427</v>
      </c>
      <c r="G351" s="6" t="s">
        <v>90</v>
      </c>
      <c r="H351" s="6" t="s">
        <v>54</v>
      </c>
      <c r="I351" s="8" t="s">
        <v>40</v>
      </c>
      <c r="J351" s="9">
        <v>1</v>
      </c>
      <c r="K351" s="9">
        <v>217</v>
      </c>
      <c r="L351" s="9">
        <v>2026</v>
      </c>
      <c r="M351" s="8" t="s">
        <v>2428</v>
      </c>
      <c r="N351" s="8" t="s">
        <v>56</v>
      </c>
      <c r="O351" s="8" t="s">
        <v>807</v>
      </c>
      <c r="P351" s="6" t="s">
        <v>44</v>
      </c>
      <c r="Q351" s="8" t="s">
        <v>45</v>
      </c>
      <c r="R351" s="10" t="s">
        <v>2429</v>
      </c>
      <c r="S351" s="11"/>
      <c r="T351" s="6"/>
      <c r="U351" s="24" t="str">
        <f>HYPERLINK("https://media.infra-m.ru/2225/2225846/cover/2225846.jpg", "Обложка")</f>
        <v>Обложка</v>
      </c>
      <c r="V351" s="24" t="str">
        <f>HYPERLINK("https://znanium.ru/catalog/product/2205667", "Ознакомиться")</f>
        <v>Ознакомиться</v>
      </c>
      <c r="W351" s="8" t="s">
        <v>180</v>
      </c>
      <c r="X351" s="6"/>
      <c r="Y351" s="6"/>
      <c r="Z351" s="6"/>
      <c r="AA351" s="6" t="s">
        <v>354</v>
      </c>
      <c r="AB351" s="8"/>
    </row>
    <row r="352" spans="1:28" s="4" customFormat="1" ht="51.95" customHeight="1">
      <c r="A352" s="5">
        <v>0</v>
      </c>
      <c r="B352" s="6" t="s">
        <v>2430</v>
      </c>
      <c r="C352" s="7">
        <v>1760</v>
      </c>
      <c r="D352" s="8" t="s">
        <v>2431</v>
      </c>
      <c r="E352" s="8" t="s">
        <v>2432</v>
      </c>
      <c r="F352" s="8" t="s">
        <v>2433</v>
      </c>
      <c r="G352" s="6" t="s">
        <v>90</v>
      </c>
      <c r="H352" s="6" t="s">
        <v>54</v>
      </c>
      <c r="I352" s="8" t="s">
        <v>40</v>
      </c>
      <c r="J352" s="9">
        <v>1</v>
      </c>
      <c r="K352" s="9">
        <v>320</v>
      </c>
      <c r="L352" s="9">
        <v>2026</v>
      </c>
      <c r="M352" s="8" t="s">
        <v>2434</v>
      </c>
      <c r="N352" s="8" t="s">
        <v>125</v>
      </c>
      <c r="O352" s="8" t="s">
        <v>798</v>
      </c>
      <c r="P352" s="6" t="s">
        <v>44</v>
      </c>
      <c r="Q352" s="8" t="s">
        <v>45</v>
      </c>
      <c r="R352" s="10" t="s">
        <v>2435</v>
      </c>
      <c r="S352" s="11" t="s">
        <v>2436</v>
      </c>
      <c r="T352" s="6"/>
      <c r="U352" s="24" t="str">
        <f>HYPERLINK("https://media.infra-m.ru/2226/2226520/cover/2226520.jpg", "Обложка")</f>
        <v>Обложка</v>
      </c>
      <c r="V352" s="24" t="str">
        <f>HYPERLINK("https://znanium.ru/catalog/product/2226520", "Ознакомиться")</f>
        <v>Ознакомиться</v>
      </c>
      <c r="W352" s="8" t="s">
        <v>1339</v>
      </c>
      <c r="X352" s="6"/>
      <c r="Y352" s="6"/>
      <c r="Z352" s="6" t="s">
        <v>48</v>
      </c>
      <c r="AA352" s="6" t="s">
        <v>111</v>
      </c>
      <c r="AB352" s="8"/>
    </row>
    <row r="353" spans="1:28" s="4" customFormat="1" ht="44.1" customHeight="1">
      <c r="A353" s="5">
        <v>0</v>
      </c>
      <c r="B353" s="6" t="s">
        <v>2437</v>
      </c>
      <c r="C353" s="7">
        <v>1440</v>
      </c>
      <c r="D353" s="8" t="s">
        <v>2438</v>
      </c>
      <c r="E353" s="8" t="s">
        <v>2439</v>
      </c>
      <c r="F353" s="8" t="s">
        <v>2440</v>
      </c>
      <c r="G353" s="6" t="s">
        <v>90</v>
      </c>
      <c r="H353" s="6" t="s">
        <v>68</v>
      </c>
      <c r="I353" s="8" t="s">
        <v>69</v>
      </c>
      <c r="J353" s="9">
        <v>1</v>
      </c>
      <c r="K353" s="9">
        <v>320</v>
      </c>
      <c r="L353" s="9">
        <v>2023</v>
      </c>
      <c r="M353" s="8" t="s">
        <v>2441</v>
      </c>
      <c r="N353" s="8" t="s">
        <v>125</v>
      </c>
      <c r="O353" s="8" t="s">
        <v>798</v>
      </c>
      <c r="P353" s="6" t="s">
        <v>44</v>
      </c>
      <c r="Q353" s="8" t="s">
        <v>45</v>
      </c>
      <c r="R353" s="10" t="s">
        <v>2442</v>
      </c>
      <c r="S353" s="11"/>
      <c r="T353" s="6"/>
      <c r="U353" s="24" t="str">
        <f>HYPERLINK("https://media.infra-m.ru/1891/1891929/cover/1891929.jpg", "Обложка")</f>
        <v>Обложка</v>
      </c>
      <c r="V353" s="12"/>
      <c r="W353" s="8" t="s">
        <v>2443</v>
      </c>
      <c r="X353" s="6"/>
      <c r="Y353" s="6"/>
      <c r="Z353" s="6"/>
      <c r="AA353" s="6" t="s">
        <v>111</v>
      </c>
      <c r="AB353" s="8"/>
    </row>
    <row r="354" spans="1:28" s="4" customFormat="1" ht="51.95" customHeight="1">
      <c r="A354" s="5">
        <v>0</v>
      </c>
      <c r="B354" s="6" t="s">
        <v>2444</v>
      </c>
      <c r="C354" s="13">
        <v>744</v>
      </c>
      <c r="D354" s="8" t="s">
        <v>2445</v>
      </c>
      <c r="E354" s="8" t="s">
        <v>2446</v>
      </c>
      <c r="F354" s="8" t="s">
        <v>2447</v>
      </c>
      <c r="G354" s="6" t="s">
        <v>67</v>
      </c>
      <c r="H354" s="6" t="s">
        <v>54</v>
      </c>
      <c r="I354" s="8" t="s">
        <v>40</v>
      </c>
      <c r="J354" s="9">
        <v>1</v>
      </c>
      <c r="K354" s="9">
        <v>143</v>
      </c>
      <c r="L354" s="9">
        <v>2026</v>
      </c>
      <c r="M354" s="8" t="s">
        <v>2448</v>
      </c>
      <c r="N354" s="8" t="s">
        <v>125</v>
      </c>
      <c r="O354" s="8" t="s">
        <v>352</v>
      </c>
      <c r="P354" s="6" t="s">
        <v>44</v>
      </c>
      <c r="Q354" s="8" t="s">
        <v>45</v>
      </c>
      <c r="R354" s="10" t="s">
        <v>2449</v>
      </c>
      <c r="S354" s="11" t="s">
        <v>2450</v>
      </c>
      <c r="T354" s="6"/>
      <c r="U354" s="24" t="str">
        <f>HYPERLINK("https://media.infra-m.ru/2220/2220707/cover/2220707.jpg", "Обложка")</f>
        <v>Обложка</v>
      </c>
      <c r="V354" s="24" t="str">
        <f>HYPERLINK("https://znanium.ru/catalog/product/1913110", "Ознакомиться")</f>
        <v>Ознакомиться</v>
      </c>
      <c r="W354" s="8" t="s">
        <v>1560</v>
      </c>
      <c r="X354" s="6"/>
      <c r="Y354" s="6"/>
      <c r="Z354" s="6"/>
      <c r="AA354" s="6" t="s">
        <v>766</v>
      </c>
      <c r="AB354" s="8"/>
    </row>
    <row r="355" spans="1:28" s="4" customFormat="1" ht="51.95" customHeight="1">
      <c r="A355" s="5">
        <v>0</v>
      </c>
      <c r="B355" s="6" t="s">
        <v>2451</v>
      </c>
      <c r="C355" s="7">
        <v>1540</v>
      </c>
      <c r="D355" s="8" t="s">
        <v>2452</v>
      </c>
      <c r="E355" s="8" t="s">
        <v>2453</v>
      </c>
      <c r="F355" s="8" t="s">
        <v>2454</v>
      </c>
      <c r="G355" s="6" t="s">
        <v>38</v>
      </c>
      <c r="H355" s="6" t="s">
        <v>54</v>
      </c>
      <c r="I355" s="8" t="s">
        <v>40</v>
      </c>
      <c r="J355" s="9">
        <v>1</v>
      </c>
      <c r="K355" s="9">
        <v>429</v>
      </c>
      <c r="L355" s="9">
        <v>2021</v>
      </c>
      <c r="M355" s="8" t="s">
        <v>2455</v>
      </c>
      <c r="N355" s="8" t="s">
        <v>125</v>
      </c>
      <c r="O355" s="8" t="s">
        <v>352</v>
      </c>
      <c r="P355" s="6" t="s">
        <v>44</v>
      </c>
      <c r="Q355" s="8" t="s">
        <v>45</v>
      </c>
      <c r="R355" s="10" t="s">
        <v>108</v>
      </c>
      <c r="S355" s="11" t="s">
        <v>2456</v>
      </c>
      <c r="T355" s="6"/>
      <c r="U355" s="24" t="str">
        <f>HYPERLINK("https://media.infra-m.ru/0961/0961439/cover/961439.jpg", "Обложка")</f>
        <v>Обложка</v>
      </c>
      <c r="V355" s="24" t="str">
        <f>HYPERLINK("https://znanium.ru/catalog/product/961439", "Ознакомиться")</f>
        <v>Ознакомиться</v>
      </c>
      <c r="W355" s="8" t="s">
        <v>1560</v>
      </c>
      <c r="X355" s="6"/>
      <c r="Y355" s="6"/>
      <c r="Z355" s="6" t="s">
        <v>48</v>
      </c>
      <c r="AA355" s="6" t="s">
        <v>223</v>
      </c>
      <c r="AB355" s="8"/>
    </row>
    <row r="356" spans="1:28" s="4" customFormat="1" ht="51.95" customHeight="1">
      <c r="A356" s="5">
        <v>0</v>
      </c>
      <c r="B356" s="6" t="s">
        <v>2457</v>
      </c>
      <c r="C356" s="13">
        <v>584</v>
      </c>
      <c r="D356" s="8" t="s">
        <v>2458</v>
      </c>
      <c r="E356" s="8" t="s">
        <v>2459</v>
      </c>
      <c r="F356" s="8" t="s">
        <v>2460</v>
      </c>
      <c r="G356" s="6" t="s">
        <v>67</v>
      </c>
      <c r="H356" s="6" t="s">
        <v>299</v>
      </c>
      <c r="I356" s="8" t="s">
        <v>40</v>
      </c>
      <c r="J356" s="9">
        <v>1</v>
      </c>
      <c r="K356" s="9">
        <v>128</v>
      </c>
      <c r="L356" s="9">
        <v>2023</v>
      </c>
      <c r="M356" s="8" t="s">
        <v>2461</v>
      </c>
      <c r="N356" s="8" t="s">
        <v>125</v>
      </c>
      <c r="O356" s="8" t="s">
        <v>352</v>
      </c>
      <c r="P356" s="6" t="s">
        <v>44</v>
      </c>
      <c r="Q356" s="8" t="s">
        <v>45</v>
      </c>
      <c r="R356" s="10" t="s">
        <v>108</v>
      </c>
      <c r="S356" s="11" t="s">
        <v>2456</v>
      </c>
      <c r="T356" s="6"/>
      <c r="U356" s="24" t="str">
        <f>HYPERLINK("https://media.infra-m.ru/2021/2021421/cover/2021421.jpg", "Обложка")</f>
        <v>Обложка</v>
      </c>
      <c r="V356" s="24" t="str">
        <f>HYPERLINK("https://znanium.ru/catalog/product/961440", "Ознакомиться")</f>
        <v>Ознакомиться</v>
      </c>
      <c r="W356" s="8" t="s">
        <v>2462</v>
      </c>
      <c r="X356" s="6"/>
      <c r="Y356" s="6"/>
      <c r="Z356" s="6" t="s">
        <v>48</v>
      </c>
      <c r="AA356" s="6" t="s">
        <v>223</v>
      </c>
      <c r="AB356" s="8"/>
    </row>
    <row r="357" spans="1:28" s="4" customFormat="1" ht="51.95" customHeight="1">
      <c r="A357" s="5">
        <v>0</v>
      </c>
      <c r="B357" s="6" t="s">
        <v>2463</v>
      </c>
      <c r="C357" s="13">
        <v>884</v>
      </c>
      <c r="D357" s="8" t="s">
        <v>2464</v>
      </c>
      <c r="E357" s="8" t="s">
        <v>2465</v>
      </c>
      <c r="F357" s="8" t="s">
        <v>2466</v>
      </c>
      <c r="G357" s="6" t="s">
        <v>38</v>
      </c>
      <c r="H357" s="6" t="s">
        <v>68</v>
      </c>
      <c r="I357" s="8" t="s">
        <v>1110</v>
      </c>
      <c r="J357" s="9">
        <v>20</v>
      </c>
      <c r="K357" s="9">
        <v>176</v>
      </c>
      <c r="L357" s="9">
        <v>2025</v>
      </c>
      <c r="M357" s="8" t="s">
        <v>2467</v>
      </c>
      <c r="N357" s="8" t="s">
        <v>56</v>
      </c>
      <c r="O357" s="8" t="s">
        <v>2468</v>
      </c>
      <c r="P357" s="6" t="s">
        <v>44</v>
      </c>
      <c r="Q357" s="8" t="s">
        <v>45</v>
      </c>
      <c r="R357" s="10" t="s">
        <v>2469</v>
      </c>
      <c r="S357" s="11" t="s">
        <v>2470</v>
      </c>
      <c r="T357" s="6"/>
      <c r="U357" s="24" t="str">
        <f>HYPERLINK("https://media.infra-m.ru/2163/2163026/cover/2163026.jpg", "Обложка")</f>
        <v>Обложка</v>
      </c>
      <c r="V357" s="24" t="str">
        <f>HYPERLINK("https://znanium.ru/catalog/product/1840499", "Ознакомиться")</f>
        <v>Ознакомиться</v>
      </c>
      <c r="W357" s="8" t="s">
        <v>2471</v>
      </c>
      <c r="X357" s="6"/>
      <c r="Y357" s="6"/>
      <c r="Z357" s="6"/>
      <c r="AA357" s="6" t="s">
        <v>181</v>
      </c>
      <c r="AB357" s="8"/>
    </row>
    <row r="358" spans="1:28" s="4" customFormat="1" ht="51.95" customHeight="1">
      <c r="A358" s="5">
        <v>0</v>
      </c>
      <c r="B358" s="6" t="s">
        <v>2472</v>
      </c>
      <c r="C358" s="7">
        <v>1604</v>
      </c>
      <c r="D358" s="8" t="s">
        <v>2473</v>
      </c>
      <c r="E358" s="8" t="s">
        <v>2474</v>
      </c>
      <c r="F358" s="8" t="s">
        <v>195</v>
      </c>
      <c r="G358" s="6" t="s">
        <v>38</v>
      </c>
      <c r="H358" s="6" t="s">
        <v>39</v>
      </c>
      <c r="I358" s="8" t="s">
        <v>40</v>
      </c>
      <c r="J358" s="9">
        <v>1</v>
      </c>
      <c r="K358" s="9">
        <v>320</v>
      </c>
      <c r="L358" s="9">
        <v>2025</v>
      </c>
      <c r="M358" s="8" t="s">
        <v>2475</v>
      </c>
      <c r="N358" s="8" t="s">
        <v>125</v>
      </c>
      <c r="O358" s="8" t="s">
        <v>2476</v>
      </c>
      <c r="P358" s="6" t="s">
        <v>44</v>
      </c>
      <c r="Q358" s="8" t="s">
        <v>45</v>
      </c>
      <c r="R358" s="10" t="s">
        <v>1005</v>
      </c>
      <c r="S358" s="11" t="s">
        <v>2477</v>
      </c>
      <c r="T358" s="6"/>
      <c r="U358" s="24" t="str">
        <f>HYPERLINK("https://media.infra-m.ru/2179/2179293/cover/2179293.jpg", "Обложка")</f>
        <v>Обложка</v>
      </c>
      <c r="V358" s="24" t="str">
        <f>HYPERLINK("https://znanium.ru/catalog/product/961441", "Ознакомиться")</f>
        <v>Ознакомиться</v>
      </c>
      <c r="W358" s="8" t="s">
        <v>2478</v>
      </c>
      <c r="X358" s="6"/>
      <c r="Y358" s="6"/>
      <c r="Z358" s="6" t="s">
        <v>48</v>
      </c>
      <c r="AA358" s="6" t="s">
        <v>740</v>
      </c>
      <c r="AB358" s="8"/>
    </row>
    <row r="359" spans="1:28" s="4" customFormat="1" ht="51.95" customHeight="1">
      <c r="A359" s="5">
        <v>0</v>
      </c>
      <c r="B359" s="6" t="s">
        <v>2479</v>
      </c>
      <c r="C359" s="7">
        <v>2250</v>
      </c>
      <c r="D359" s="8" t="s">
        <v>2480</v>
      </c>
      <c r="E359" s="8" t="s">
        <v>2481</v>
      </c>
      <c r="F359" s="8" t="s">
        <v>2482</v>
      </c>
      <c r="G359" s="6" t="s">
        <v>38</v>
      </c>
      <c r="H359" s="6" t="s">
        <v>54</v>
      </c>
      <c r="I359" s="8" t="s">
        <v>40</v>
      </c>
      <c r="J359" s="9">
        <v>1</v>
      </c>
      <c r="K359" s="9">
        <v>432</v>
      </c>
      <c r="L359" s="9">
        <v>2026</v>
      </c>
      <c r="M359" s="8" t="s">
        <v>2483</v>
      </c>
      <c r="N359" s="8" t="s">
        <v>125</v>
      </c>
      <c r="O359" s="8" t="s">
        <v>798</v>
      </c>
      <c r="P359" s="6" t="s">
        <v>44</v>
      </c>
      <c r="Q359" s="8" t="s">
        <v>45</v>
      </c>
      <c r="R359" s="10" t="s">
        <v>2484</v>
      </c>
      <c r="S359" s="11" t="s">
        <v>2485</v>
      </c>
      <c r="T359" s="6"/>
      <c r="U359" s="24" t="str">
        <f>HYPERLINK("https://media.infra-m.ru/2217/2217048/cover/2217048.jpg", "Обложка")</f>
        <v>Обложка</v>
      </c>
      <c r="V359" s="24" t="str">
        <f>HYPERLINK("https://znanium.ru/catalog/product/2217048", "Ознакомиться")</f>
        <v>Ознакомиться</v>
      </c>
      <c r="W359" s="8" t="s">
        <v>662</v>
      </c>
      <c r="X359" s="6"/>
      <c r="Y359" s="6" t="s">
        <v>30</v>
      </c>
      <c r="Z359" s="6" t="s">
        <v>48</v>
      </c>
      <c r="AA359" s="6" t="s">
        <v>2486</v>
      </c>
      <c r="AB359" s="8"/>
    </row>
    <row r="360" spans="1:28" s="4" customFormat="1" ht="51.95" customHeight="1">
      <c r="A360" s="5">
        <v>0</v>
      </c>
      <c r="B360" s="6" t="s">
        <v>2487</v>
      </c>
      <c r="C360" s="7">
        <v>2790</v>
      </c>
      <c r="D360" s="8" t="s">
        <v>2488</v>
      </c>
      <c r="E360" s="8" t="s">
        <v>2489</v>
      </c>
      <c r="F360" s="8" t="s">
        <v>2490</v>
      </c>
      <c r="G360" s="6" t="s">
        <v>38</v>
      </c>
      <c r="H360" s="6" t="s">
        <v>54</v>
      </c>
      <c r="I360" s="8" t="s">
        <v>40</v>
      </c>
      <c r="J360" s="9">
        <v>1</v>
      </c>
      <c r="K360" s="9">
        <v>512</v>
      </c>
      <c r="L360" s="9">
        <v>2026</v>
      </c>
      <c r="M360" s="8" t="s">
        <v>2491</v>
      </c>
      <c r="N360" s="8" t="s">
        <v>125</v>
      </c>
      <c r="O360" s="8" t="s">
        <v>798</v>
      </c>
      <c r="P360" s="6" t="s">
        <v>44</v>
      </c>
      <c r="Q360" s="8" t="s">
        <v>45</v>
      </c>
      <c r="R360" s="10" t="s">
        <v>2492</v>
      </c>
      <c r="S360" s="11" t="s">
        <v>2493</v>
      </c>
      <c r="T360" s="6"/>
      <c r="U360" s="24" t="str">
        <f>HYPERLINK("https://media.infra-m.ru/2224/2224051/cover/2224051.jpg", "Обложка")</f>
        <v>Обложка</v>
      </c>
      <c r="V360" s="24" t="str">
        <f>HYPERLINK("https://znanium.ru/catalog/product/2224051", "Ознакомиться")</f>
        <v>Ознакомиться</v>
      </c>
      <c r="W360" s="8" t="s">
        <v>2494</v>
      </c>
      <c r="X360" s="6"/>
      <c r="Y360" s="6"/>
      <c r="Z360" s="6" t="s">
        <v>48</v>
      </c>
      <c r="AA360" s="6" t="s">
        <v>563</v>
      </c>
      <c r="AB360" s="8"/>
    </row>
    <row r="361" spans="1:28" s="4" customFormat="1" ht="51.95" customHeight="1">
      <c r="A361" s="5">
        <v>0</v>
      </c>
      <c r="B361" s="6" t="s">
        <v>2495</v>
      </c>
      <c r="C361" s="7">
        <v>1524</v>
      </c>
      <c r="D361" s="8" t="s">
        <v>2496</v>
      </c>
      <c r="E361" s="8" t="s">
        <v>2497</v>
      </c>
      <c r="F361" s="8" t="s">
        <v>2498</v>
      </c>
      <c r="G361" s="6" t="s">
        <v>90</v>
      </c>
      <c r="H361" s="6" t="s">
        <v>54</v>
      </c>
      <c r="I361" s="8" t="s">
        <v>40</v>
      </c>
      <c r="J361" s="9">
        <v>1</v>
      </c>
      <c r="K361" s="9">
        <v>337</v>
      </c>
      <c r="L361" s="9">
        <v>2023</v>
      </c>
      <c r="M361" s="8" t="s">
        <v>2499</v>
      </c>
      <c r="N361" s="8" t="s">
        <v>125</v>
      </c>
      <c r="O361" s="8" t="s">
        <v>126</v>
      </c>
      <c r="P361" s="6" t="s">
        <v>44</v>
      </c>
      <c r="Q361" s="8" t="s">
        <v>45</v>
      </c>
      <c r="R361" s="10" t="s">
        <v>2500</v>
      </c>
      <c r="S361" s="11" t="s">
        <v>2501</v>
      </c>
      <c r="T361" s="6"/>
      <c r="U361" s="24" t="str">
        <f>HYPERLINK("https://media.infra-m.ru/2021/2021423/cover/2021423.jpg", "Обложка")</f>
        <v>Обложка</v>
      </c>
      <c r="V361" s="24" t="str">
        <f>HYPERLINK("https://znanium.ru/catalog/product/961444", "Ознакомиться")</f>
        <v>Ознакомиться</v>
      </c>
      <c r="W361" s="8" t="s">
        <v>2502</v>
      </c>
      <c r="X361" s="6"/>
      <c r="Y361" s="6"/>
      <c r="Z361" s="6" t="s">
        <v>48</v>
      </c>
      <c r="AA361" s="6" t="s">
        <v>74</v>
      </c>
      <c r="AB361" s="8"/>
    </row>
    <row r="362" spans="1:28" s="4" customFormat="1" ht="42" customHeight="1">
      <c r="A362" s="5">
        <v>0</v>
      </c>
      <c r="B362" s="6" t="s">
        <v>2503</v>
      </c>
      <c r="C362" s="7">
        <v>1390</v>
      </c>
      <c r="D362" s="8" t="s">
        <v>2504</v>
      </c>
      <c r="E362" s="8" t="s">
        <v>2505</v>
      </c>
      <c r="F362" s="8" t="s">
        <v>2506</v>
      </c>
      <c r="G362" s="6" t="s">
        <v>38</v>
      </c>
      <c r="H362" s="6" t="s">
        <v>54</v>
      </c>
      <c r="I362" s="8" t="s">
        <v>40</v>
      </c>
      <c r="J362" s="9">
        <v>1</v>
      </c>
      <c r="K362" s="9">
        <v>269</v>
      </c>
      <c r="L362" s="9">
        <v>2025</v>
      </c>
      <c r="M362" s="8" t="s">
        <v>2507</v>
      </c>
      <c r="N362" s="8" t="s">
        <v>125</v>
      </c>
      <c r="O362" s="8" t="s">
        <v>2508</v>
      </c>
      <c r="P362" s="6" t="s">
        <v>44</v>
      </c>
      <c r="Q362" s="8" t="s">
        <v>45</v>
      </c>
      <c r="R362" s="10" t="s">
        <v>2509</v>
      </c>
      <c r="S362" s="11"/>
      <c r="T362" s="6"/>
      <c r="U362" s="24" t="str">
        <f>HYPERLINK("https://media.infra-m.ru/2169/2169150/cover/2169150.jpg", "Обложка")</f>
        <v>Обложка</v>
      </c>
      <c r="V362" s="24" t="str">
        <f>HYPERLINK("https://znanium.ru/catalog/product/2169150", "Ознакомиться")</f>
        <v>Ознакомиться</v>
      </c>
      <c r="W362" s="8" t="s">
        <v>2510</v>
      </c>
      <c r="X362" s="6" t="s">
        <v>367</v>
      </c>
      <c r="Y362" s="6"/>
      <c r="Z362" s="6" t="s">
        <v>48</v>
      </c>
      <c r="AA362" s="6" t="s">
        <v>84</v>
      </c>
      <c r="AB362" s="8"/>
    </row>
    <row r="363" spans="1:28" s="4" customFormat="1" ht="51.95" customHeight="1">
      <c r="A363" s="5">
        <v>0</v>
      </c>
      <c r="B363" s="6" t="s">
        <v>2511</v>
      </c>
      <c r="C363" s="7">
        <v>1650</v>
      </c>
      <c r="D363" s="8" t="s">
        <v>2512</v>
      </c>
      <c r="E363" s="8" t="s">
        <v>2513</v>
      </c>
      <c r="F363" s="8" t="s">
        <v>846</v>
      </c>
      <c r="G363" s="6" t="s">
        <v>90</v>
      </c>
      <c r="H363" s="6" t="s">
        <v>54</v>
      </c>
      <c r="I363" s="8" t="s">
        <v>40</v>
      </c>
      <c r="J363" s="9">
        <v>1</v>
      </c>
      <c r="K363" s="9">
        <v>351</v>
      </c>
      <c r="L363" s="9">
        <v>2024</v>
      </c>
      <c r="M363" s="8" t="s">
        <v>2514</v>
      </c>
      <c r="N363" s="8" t="s">
        <v>125</v>
      </c>
      <c r="O363" s="8" t="s">
        <v>126</v>
      </c>
      <c r="P363" s="6" t="s">
        <v>44</v>
      </c>
      <c r="Q363" s="8" t="s">
        <v>45</v>
      </c>
      <c r="R363" s="10" t="s">
        <v>2515</v>
      </c>
      <c r="S363" s="11" t="s">
        <v>2516</v>
      </c>
      <c r="T363" s="6"/>
      <c r="U363" s="24" t="str">
        <f>HYPERLINK("https://media.infra-m.ru/2131/2131818/cover/2131818.jpg", "Обложка")</f>
        <v>Обложка</v>
      </c>
      <c r="V363" s="24" t="str">
        <f>HYPERLINK("https://znanium.ru/catalog/product/2131818", "Ознакомиться")</f>
        <v>Ознакомиться</v>
      </c>
      <c r="W363" s="8" t="s">
        <v>850</v>
      </c>
      <c r="X363" s="6"/>
      <c r="Y363" s="6"/>
      <c r="Z363" s="6" t="s">
        <v>48</v>
      </c>
      <c r="AA363" s="6" t="s">
        <v>223</v>
      </c>
      <c r="AB363" s="8"/>
    </row>
    <row r="364" spans="1:28" s="4" customFormat="1" ht="51.95" customHeight="1">
      <c r="A364" s="5">
        <v>0</v>
      </c>
      <c r="B364" s="6" t="s">
        <v>2517</v>
      </c>
      <c r="C364" s="13">
        <v>850</v>
      </c>
      <c r="D364" s="8" t="s">
        <v>2518</v>
      </c>
      <c r="E364" s="8" t="s">
        <v>2519</v>
      </c>
      <c r="F364" s="8" t="s">
        <v>2520</v>
      </c>
      <c r="G364" s="6" t="s">
        <v>90</v>
      </c>
      <c r="H364" s="6" t="s">
        <v>54</v>
      </c>
      <c r="I364" s="8" t="s">
        <v>40</v>
      </c>
      <c r="J364" s="9">
        <v>1</v>
      </c>
      <c r="K364" s="9">
        <v>190</v>
      </c>
      <c r="L364" s="9">
        <v>2023</v>
      </c>
      <c r="M364" s="8" t="s">
        <v>2521</v>
      </c>
      <c r="N364" s="8" t="s">
        <v>125</v>
      </c>
      <c r="O364" s="8" t="s">
        <v>126</v>
      </c>
      <c r="P364" s="6" t="s">
        <v>44</v>
      </c>
      <c r="Q364" s="8" t="s">
        <v>45</v>
      </c>
      <c r="R364" s="10" t="s">
        <v>1005</v>
      </c>
      <c r="S364" s="11" t="s">
        <v>2522</v>
      </c>
      <c r="T364" s="6"/>
      <c r="U364" s="24" t="str">
        <f>HYPERLINK("https://media.infra-m.ru/1891/1891925/cover/1891925.jpg", "Обложка")</f>
        <v>Обложка</v>
      </c>
      <c r="V364" s="24" t="str">
        <f>HYPERLINK("https://znanium.ru/catalog/product/1891925", "Ознакомиться")</f>
        <v>Ознакомиться</v>
      </c>
      <c r="W364" s="8" t="s">
        <v>2502</v>
      </c>
      <c r="X364" s="6"/>
      <c r="Y364" s="6"/>
      <c r="Z364" s="6" t="s">
        <v>48</v>
      </c>
      <c r="AA364" s="6" t="s">
        <v>111</v>
      </c>
      <c r="AB364" s="8"/>
    </row>
    <row r="365" spans="1:28" s="4" customFormat="1" ht="42" customHeight="1">
      <c r="A365" s="5">
        <v>0</v>
      </c>
      <c r="B365" s="6" t="s">
        <v>2523</v>
      </c>
      <c r="C365" s="7">
        <v>1294</v>
      </c>
      <c r="D365" s="8" t="s">
        <v>2524</v>
      </c>
      <c r="E365" s="8" t="s">
        <v>2525</v>
      </c>
      <c r="F365" s="8" t="s">
        <v>2526</v>
      </c>
      <c r="G365" s="6" t="s">
        <v>90</v>
      </c>
      <c r="H365" s="6" t="s">
        <v>68</v>
      </c>
      <c r="I365" s="8" t="s">
        <v>69</v>
      </c>
      <c r="J365" s="9">
        <v>1</v>
      </c>
      <c r="K365" s="9">
        <v>276</v>
      </c>
      <c r="L365" s="9">
        <v>2024</v>
      </c>
      <c r="M365" s="8" t="s">
        <v>2527</v>
      </c>
      <c r="N365" s="8" t="s">
        <v>125</v>
      </c>
      <c r="O365" s="8" t="s">
        <v>2476</v>
      </c>
      <c r="P365" s="6" t="s">
        <v>58</v>
      </c>
      <c r="Q365" s="8" t="s">
        <v>45</v>
      </c>
      <c r="R365" s="10" t="s">
        <v>2528</v>
      </c>
      <c r="S365" s="11"/>
      <c r="T365" s="6"/>
      <c r="U365" s="24" t="str">
        <f>HYPERLINK("https://media.infra-m.ru/2152/2152180/cover/2152180.jpg", "Обложка")</f>
        <v>Обложка</v>
      </c>
      <c r="V365" s="24" t="str">
        <f>HYPERLINK("https://znanium.ru/catalog/product/2152180", "Ознакомиться")</f>
        <v>Ознакомиться</v>
      </c>
      <c r="W365" s="8" t="s">
        <v>293</v>
      </c>
      <c r="X365" s="6"/>
      <c r="Y365" s="6" t="s">
        <v>30</v>
      </c>
      <c r="Z365" s="6" t="s">
        <v>48</v>
      </c>
      <c r="AA365" s="6" t="s">
        <v>740</v>
      </c>
      <c r="AB365" s="8"/>
    </row>
    <row r="366" spans="1:28" s="4" customFormat="1" ht="51.95" customHeight="1">
      <c r="A366" s="5">
        <v>0</v>
      </c>
      <c r="B366" s="6" t="s">
        <v>2529</v>
      </c>
      <c r="C366" s="7">
        <v>2754</v>
      </c>
      <c r="D366" s="8" t="s">
        <v>2530</v>
      </c>
      <c r="E366" s="8" t="s">
        <v>2531</v>
      </c>
      <c r="F366" s="8" t="s">
        <v>2532</v>
      </c>
      <c r="G366" s="6" t="s">
        <v>90</v>
      </c>
      <c r="H366" s="6" t="s">
        <v>54</v>
      </c>
      <c r="I366" s="8" t="s">
        <v>40</v>
      </c>
      <c r="J366" s="9">
        <v>1</v>
      </c>
      <c r="K366" s="9">
        <v>550</v>
      </c>
      <c r="L366" s="9">
        <v>2025</v>
      </c>
      <c r="M366" s="8" t="s">
        <v>2533</v>
      </c>
      <c r="N366" s="8" t="s">
        <v>125</v>
      </c>
      <c r="O366" s="8" t="s">
        <v>2476</v>
      </c>
      <c r="P366" s="6" t="s">
        <v>44</v>
      </c>
      <c r="Q366" s="8" t="s">
        <v>45</v>
      </c>
      <c r="R366" s="10" t="s">
        <v>2534</v>
      </c>
      <c r="S366" s="11" t="s">
        <v>2535</v>
      </c>
      <c r="T366" s="6"/>
      <c r="U366" s="24" t="str">
        <f>HYPERLINK("https://media.infra-m.ru/2188/2188761/cover/2188761.jpg", "Обложка")</f>
        <v>Обложка</v>
      </c>
      <c r="V366" s="24" t="str">
        <f>HYPERLINK("https://znanium.ru/catalog/product/2104821", "Ознакомиться")</f>
        <v>Ознакомиться</v>
      </c>
      <c r="W366" s="8" t="s">
        <v>2536</v>
      </c>
      <c r="X366" s="6"/>
      <c r="Y366" s="6" t="s">
        <v>30</v>
      </c>
      <c r="Z366" s="6"/>
      <c r="AA366" s="6" t="s">
        <v>999</v>
      </c>
      <c r="AB366" s="8"/>
    </row>
    <row r="367" spans="1:28" s="4" customFormat="1" ht="51.95" customHeight="1">
      <c r="A367" s="5">
        <v>0</v>
      </c>
      <c r="B367" s="6" t="s">
        <v>2537</v>
      </c>
      <c r="C367" s="7">
        <v>3044</v>
      </c>
      <c r="D367" s="8" t="s">
        <v>2538</v>
      </c>
      <c r="E367" s="8" t="s">
        <v>2525</v>
      </c>
      <c r="F367" s="8" t="s">
        <v>2539</v>
      </c>
      <c r="G367" s="6" t="s">
        <v>90</v>
      </c>
      <c r="H367" s="6" t="s">
        <v>54</v>
      </c>
      <c r="I367" s="8" t="s">
        <v>40</v>
      </c>
      <c r="J367" s="9">
        <v>1</v>
      </c>
      <c r="K367" s="9">
        <v>649</v>
      </c>
      <c r="L367" s="9">
        <v>2025</v>
      </c>
      <c r="M367" s="8" t="s">
        <v>2540</v>
      </c>
      <c r="N367" s="8" t="s">
        <v>125</v>
      </c>
      <c r="O367" s="8" t="s">
        <v>2476</v>
      </c>
      <c r="P367" s="6" t="s">
        <v>44</v>
      </c>
      <c r="Q367" s="8" t="s">
        <v>45</v>
      </c>
      <c r="R367" s="10" t="s">
        <v>2541</v>
      </c>
      <c r="S367" s="11" t="s">
        <v>2542</v>
      </c>
      <c r="T367" s="6"/>
      <c r="U367" s="24" t="str">
        <f>HYPERLINK("https://media.infra-m.ru/2206/2206789/cover/2206789.jpg", "Обложка")</f>
        <v>Обложка</v>
      </c>
      <c r="V367" s="24" t="str">
        <f>HYPERLINK("https://znanium.ru/catalog/product/2102651", "Ознакомиться")</f>
        <v>Ознакомиться</v>
      </c>
      <c r="W367" s="8" t="s">
        <v>2543</v>
      </c>
      <c r="X367" s="6"/>
      <c r="Y367" s="6" t="s">
        <v>30</v>
      </c>
      <c r="Z367" s="6"/>
      <c r="AA367" s="6" t="s">
        <v>223</v>
      </c>
      <c r="AB367" s="8" t="s">
        <v>869</v>
      </c>
    </row>
    <row r="368" spans="1:28" s="4" customFormat="1" ht="51.95" customHeight="1">
      <c r="A368" s="5">
        <v>0</v>
      </c>
      <c r="B368" s="6" t="s">
        <v>2544</v>
      </c>
      <c r="C368" s="7">
        <v>1790</v>
      </c>
      <c r="D368" s="8" t="s">
        <v>2545</v>
      </c>
      <c r="E368" s="8" t="s">
        <v>2525</v>
      </c>
      <c r="F368" s="8" t="s">
        <v>2546</v>
      </c>
      <c r="G368" s="6" t="s">
        <v>90</v>
      </c>
      <c r="H368" s="6" t="s">
        <v>54</v>
      </c>
      <c r="I368" s="8" t="s">
        <v>40</v>
      </c>
      <c r="J368" s="9">
        <v>1</v>
      </c>
      <c r="K368" s="9">
        <v>528</v>
      </c>
      <c r="L368" s="9">
        <v>2020</v>
      </c>
      <c r="M368" s="8" t="s">
        <v>2547</v>
      </c>
      <c r="N368" s="8" t="s">
        <v>125</v>
      </c>
      <c r="O368" s="8" t="s">
        <v>2476</v>
      </c>
      <c r="P368" s="6" t="s">
        <v>44</v>
      </c>
      <c r="Q368" s="8" t="s">
        <v>45</v>
      </c>
      <c r="R368" s="10" t="s">
        <v>2534</v>
      </c>
      <c r="S368" s="11" t="s">
        <v>2548</v>
      </c>
      <c r="T368" s="6"/>
      <c r="U368" s="24" t="str">
        <f>HYPERLINK("https://media.infra-m.ru/1060/1060624/cover/1060624.jpg", "Обложка")</f>
        <v>Обложка</v>
      </c>
      <c r="V368" s="24" t="str">
        <f>HYPERLINK("https://znanium.ru/catalog/product/2104821", "Ознакомиться")</f>
        <v>Ознакомиться</v>
      </c>
      <c r="W368" s="8" t="s">
        <v>1552</v>
      </c>
      <c r="X368" s="6"/>
      <c r="Y368" s="6" t="s">
        <v>30</v>
      </c>
      <c r="Z368" s="6"/>
      <c r="AA368" s="6" t="s">
        <v>261</v>
      </c>
      <c r="AB368" s="8"/>
    </row>
    <row r="369" spans="1:28" s="4" customFormat="1" ht="51.95" customHeight="1">
      <c r="A369" s="5">
        <v>0</v>
      </c>
      <c r="B369" s="6" t="s">
        <v>2549</v>
      </c>
      <c r="C369" s="7">
        <v>2194</v>
      </c>
      <c r="D369" s="8" t="s">
        <v>2550</v>
      </c>
      <c r="E369" s="8" t="s">
        <v>2551</v>
      </c>
      <c r="F369" s="8" t="s">
        <v>2552</v>
      </c>
      <c r="G369" s="6" t="s">
        <v>38</v>
      </c>
      <c r="H369" s="6" t="s">
        <v>39</v>
      </c>
      <c r="I369" s="8" t="s">
        <v>69</v>
      </c>
      <c r="J369" s="9">
        <v>1</v>
      </c>
      <c r="K369" s="9">
        <v>400</v>
      </c>
      <c r="L369" s="9">
        <v>2026</v>
      </c>
      <c r="M369" s="8" t="s">
        <v>2553</v>
      </c>
      <c r="N369" s="8" t="s">
        <v>42</v>
      </c>
      <c r="O369" s="8" t="s">
        <v>169</v>
      </c>
      <c r="P369" s="6" t="s">
        <v>44</v>
      </c>
      <c r="Q369" s="8" t="s">
        <v>45</v>
      </c>
      <c r="R369" s="10" t="s">
        <v>2554</v>
      </c>
      <c r="S369" s="11" t="s">
        <v>2555</v>
      </c>
      <c r="T369" s="6"/>
      <c r="U369" s="24" t="str">
        <f>HYPERLINK("https://media.infra-m.ru/2224/2224183/cover/2224183.jpg", "Обложка")</f>
        <v>Обложка</v>
      </c>
      <c r="V369" s="24" t="str">
        <f>HYPERLINK("https://znanium.ru/catalog/product/1144495", "Ознакомиться")</f>
        <v>Ознакомиться</v>
      </c>
      <c r="W369" s="8" t="s">
        <v>2556</v>
      </c>
      <c r="X369" s="6"/>
      <c r="Y369" s="6" t="s">
        <v>30</v>
      </c>
      <c r="Z369" s="6"/>
      <c r="AA369" s="6" t="s">
        <v>261</v>
      </c>
      <c r="AB369" s="8"/>
    </row>
    <row r="370" spans="1:28" s="4" customFormat="1" ht="51.95" customHeight="1">
      <c r="A370" s="5">
        <v>0</v>
      </c>
      <c r="B370" s="6" t="s">
        <v>2557</v>
      </c>
      <c r="C370" s="7">
        <v>1270</v>
      </c>
      <c r="D370" s="8" t="s">
        <v>2558</v>
      </c>
      <c r="E370" s="8" t="s">
        <v>2559</v>
      </c>
      <c r="F370" s="8" t="s">
        <v>2560</v>
      </c>
      <c r="G370" s="6" t="s">
        <v>90</v>
      </c>
      <c r="H370" s="6" t="s">
        <v>39</v>
      </c>
      <c r="I370" s="8" t="s">
        <v>40</v>
      </c>
      <c r="J370" s="9">
        <v>1</v>
      </c>
      <c r="K370" s="9">
        <v>280</v>
      </c>
      <c r="L370" s="9">
        <v>2023</v>
      </c>
      <c r="M370" s="8" t="s">
        <v>2561</v>
      </c>
      <c r="N370" s="8" t="s">
        <v>535</v>
      </c>
      <c r="O370" s="8" t="s">
        <v>1048</v>
      </c>
      <c r="P370" s="6" t="s">
        <v>58</v>
      </c>
      <c r="Q370" s="8" t="s">
        <v>45</v>
      </c>
      <c r="R370" s="10" t="s">
        <v>2562</v>
      </c>
      <c r="S370" s="11" t="s">
        <v>2563</v>
      </c>
      <c r="T370" s="6"/>
      <c r="U370" s="24" t="str">
        <f>HYPERLINK("https://media.infra-m.ru/1971/1971052/cover/1971052.jpg", "Обложка")</f>
        <v>Обложка</v>
      </c>
      <c r="V370" s="24" t="str">
        <f>HYPERLINK("https://znanium.ru/catalog/product/1971052", "Ознакомиться")</f>
        <v>Ознакомиться</v>
      </c>
      <c r="W370" s="8" t="s">
        <v>2044</v>
      </c>
      <c r="X370" s="6"/>
      <c r="Y370" s="6" t="s">
        <v>30</v>
      </c>
      <c r="Z370" s="6" t="s">
        <v>48</v>
      </c>
      <c r="AA370" s="6" t="s">
        <v>563</v>
      </c>
      <c r="AB370" s="8"/>
    </row>
    <row r="371" spans="1:28" s="4" customFormat="1" ht="51.95" customHeight="1">
      <c r="A371" s="5">
        <v>0</v>
      </c>
      <c r="B371" s="6" t="s">
        <v>2564</v>
      </c>
      <c r="C371" s="13">
        <v>704</v>
      </c>
      <c r="D371" s="8" t="s">
        <v>2565</v>
      </c>
      <c r="E371" s="8" t="s">
        <v>2566</v>
      </c>
      <c r="F371" s="8" t="s">
        <v>2567</v>
      </c>
      <c r="G371" s="6" t="s">
        <v>67</v>
      </c>
      <c r="H371" s="6" t="s">
        <v>54</v>
      </c>
      <c r="I371" s="8" t="s">
        <v>40</v>
      </c>
      <c r="J371" s="9">
        <v>1</v>
      </c>
      <c r="K371" s="9">
        <v>136</v>
      </c>
      <c r="L371" s="9">
        <v>2025</v>
      </c>
      <c r="M371" s="8" t="s">
        <v>2568</v>
      </c>
      <c r="N371" s="8" t="s">
        <v>42</v>
      </c>
      <c r="O371" s="8" t="s">
        <v>319</v>
      </c>
      <c r="P371" s="6" t="s">
        <v>44</v>
      </c>
      <c r="Q371" s="8" t="s">
        <v>45</v>
      </c>
      <c r="R371" s="10" t="s">
        <v>2569</v>
      </c>
      <c r="S371" s="11" t="s">
        <v>337</v>
      </c>
      <c r="T371" s="6"/>
      <c r="U371" s="24" t="str">
        <f>HYPERLINK("https://media.infra-m.ru/2202/2202382/cover/2202382.jpg", "Обложка")</f>
        <v>Обложка</v>
      </c>
      <c r="V371" s="24" t="str">
        <f>HYPERLINK("https://znanium.ru/catalog/product/1877512", "Ознакомиться")</f>
        <v>Ознакомиться</v>
      </c>
      <c r="W371" s="8" t="s">
        <v>293</v>
      </c>
      <c r="X371" s="6"/>
      <c r="Y371" s="6"/>
      <c r="Z371" s="6" t="s">
        <v>207</v>
      </c>
      <c r="AA371" s="6" t="s">
        <v>111</v>
      </c>
      <c r="AB371" s="8"/>
    </row>
    <row r="372" spans="1:28" s="4" customFormat="1" ht="51.95" customHeight="1">
      <c r="A372" s="5">
        <v>0</v>
      </c>
      <c r="B372" s="6" t="s">
        <v>2570</v>
      </c>
      <c r="C372" s="7">
        <v>1170</v>
      </c>
      <c r="D372" s="8" t="s">
        <v>2571</v>
      </c>
      <c r="E372" s="8" t="s">
        <v>2572</v>
      </c>
      <c r="F372" s="8" t="s">
        <v>2573</v>
      </c>
      <c r="G372" s="6" t="s">
        <v>90</v>
      </c>
      <c r="H372" s="6" t="s">
        <v>54</v>
      </c>
      <c r="I372" s="8" t="s">
        <v>40</v>
      </c>
      <c r="J372" s="9">
        <v>1</v>
      </c>
      <c r="K372" s="9">
        <v>215</v>
      </c>
      <c r="L372" s="9">
        <v>2026</v>
      </c>
      <c r="M372" s="8" t="s">
        <v>2574</v>
      </c>
      <c r="N372" s="8" t="s">
        <v>535</v>
      </c>
      <c r="O372" s="8" t="s">
        <v>1048</v>
      </c>
      <c r="P372" s="6" t="s">
        <v>44</v>
      </c>
      <c r="Q372" s="8" t="s">
        <v>45</v>
      </c>
      <c r="R372" s="10" t="s">
        <v>2575</v>
      </c>
      <c r="S372" s="11" t="s">
        <v>2576</v>
      </c>
      <c r="T372" s="6"/>
      <c r="U372" s="24" t="str">
        <f>HYPERLINK("https://media.infra-m.ru/2220/2220932/cover/2220932.jpg", "Обложка")</f>
        <v>Обложка</v>
      </c>
      <c r="V372" s="24" t="str">
        <f>HYPERLINK("https://znanium.ru/catalog/product/2126590", "Ознакомиться")</f>
        <v>Ознакомиться</v>
      </c>
      <c r="W372" s="8" t="s">
        <v>2044</v>
      </c>
      <c r="X372" s="6"/>
      <c r="Y372" s="6" t="s">
        <v>30</v>
      </c>
      <c r="Z372" s="6" t="s">
        <v>48</v>
      </c>
      <c r="AA372" s="6" t="s">
        <v>485</v>
      </c>
      <c r="AB372" s="8"/>
    </row>
    <row r="373" spans="1:28" s="4" customFormat="1" ht="51.95" customHeight="1">
      <c r="A373" s="5">
        <v>0</v>
      </c>
      <c r="B373" s="6" t="s">
        <v>2577</v>
      </c>
      <c r="C373" s="7">
        <v>1460</v>
      </c>
      <c r="D373" s="8" t="s">
        <v>2578</v>
      </c>
      <c r="E373" s="8" t="s">
        <v>2579</v>
      </c>
      <c r="F373" s="8" t="s">
        <v>2580</v>
      </c>
      <c r="G373" s="6" t="s">
        <v>90</v>
      </c>
      <c r="H373" s="6" t="s">
        <v>54</v>
      </c>
      <c r="I373" s="8" t="s">
        <v>40</v>
      </c>
      <c r="J373" s="9">
        <v>1</v>
      </c>
      <c r="K373" s="9">
        <v>324</v>
      </c>
      <c r="L373" s="9">
        <v>2023</v>
      </c>
      <c r="M373" s="8" t="s">
        <v>2581</v>
      </c>
      <c r="N373" s="8" t="s">
        <v>535</v>
      </c>
      <c r="O373" s="8" t="s">
        <v>1048</v>
      </c>
      <c r="P373" s="6" t="s">
        <v>58</v>
      </c>
      <c r="Q373" s="8" t="s">
        <v>45</v>
      </c>
      <c r="R373" s="10" t="s">
        <v>2582</v>
      </c>
      <c r="S373" s="11" t="s">
        <v>2583</v>
      </c>
      <c r="T373" s="6" t="s">
        <v>118</v>
      </c>
      <c r="U373" s="24" t="str">
        <f>HYPERLINK("https://media.infra-m.ru/1922/1922303/cover/1922303.jpg", "Обложка")</f>
        <v>Обложка</v>
      </c>
      <c r="V373" s="24" t="str">
        <f>HYPERLINK("https://znanium.ru/catalog/product/1922303", "Ознакомиться")</f>
        <v>Ознакомиться</v>
      </c>
      <c r="W373" s="8" t="s">
        <v>2584</v>
      </c>
      <c r="X373" s="6"/>
      <c r="Y373" s="6"/>
      <c r="Z373" s="6" t="s">
        <v>48</v>
      </c>
      <c r="AA373" s="6" t="s">
        <v>294</v>
      </c>
      <c r="AB373" s="8" t="s">
        <v>860</v>
      </c>
    </row>
    <row r="374" spans="1:28" s="4" customFormat="1" ht="42" customHeight="1">
      <c r="A374" s="5">
        <v>0</v>
      </c>
      <c r="B374" s="6" t="s">
        <v>2585</v>
      </c>
      <c r="C374" s="13">
        <v>450</v>
      </c>
      <c r="D374" s="8" t="s">
        <v>2586</v>
      </c>
      <c r="E374" s="8" t="s">
        <v>2587</v>
      </c>
      <c r="F374" s="8" t="s">
        <v>2588</v>
      </c>
      <c r="G374" s="6" t="s">
        <v>67</v>
      </c>
      <c r="H374" s="6" t="s">
        <v>68</v>
      </c>
      <c r="I374" s="8"/>
      <c r="J374" s="9">
        <v>1</v>
      </c>
      <c r="K374" s="9">
        <v>230</v>
      </c>
      <c r="L374" s="9">
        <v>2019</v>
      </c>
      <c r="M374" s="8" t="s">
        <v>2589</v>
      </c>
      <c r="N374" s="8" t="s">
        <v>125</v>
      </c>
      <c r="O374" s="8" t="s">
        <v>352</v>
      </c>
      <c r="P374" s="6" t="s">
        <v>44</v>
      </c>
      <c r="Q374" s="8" t="s">
        <v>45</v>
      </c>
      <c r="R374" s="10" t="s">
        <v>2590</v>
      </c>
      <c r="S374" s="11"/>
      <c r="T374" s="6"/>
      <c r="U374" s="24" t="str">
        <f>HYPERLINK("https://media.infra-m.ru/1020/1020833/cover/1020833.jpg", "Обложка")</f>
        <v>Обложка</v>
      </c>
      <c r="V374" s="24" t="str">
        <f>HYPERLINK("https://znanium.ru/catalog/product/2217137", "Ознакомиться")</f>
        <v>Ознакомиться</v>
      </c>
      <c r="W374" s="8" t="s">
        <v>1552</v>
      </c>
      <c r="X374" s="6"/>
      <c r="Y374" s="6"/>
      <c r="Z374" s="6"/>
      <c r="AA374" s="6" t="s">
        <v>573</v>
      </c>
      <c r="AB374" s="8"/>
    </row>
    <row r="375" spans="1:28" s="4" customFormat="1" ht="42" customHeight="1">
      <c r="A375" s="5">
        <v>0</v>
      </c>
      <c r="B375" s="6" t="s">
        <v>2591</v>
      </c>
      <c r="C375" s="13">
        <v>852</v>
      </c>
      <c r="D375" s="8" t="s">
        <v>2592</v>
      </c>
      <c r="E375" s="8" t="s">
        <v>2593</v>
      </c>
      <c r="F375" s="8" t="s">
        <v>2588</v>
      </c>
      <c r="G375" s="6" t="s">
        <v>67</v>
      </c>
      <c r="H375" s="6" t="s">
        <v>68</v>
      </c>
      <c r="I375" s="8"/>
      <c r="J375" s="9">
        <v>1</v>
      </c>
      <c r="K375" s="9">
        <v>254</v>
      </c>
      <c r="L375" s="9">
        <v>2025</v>
      </c>
      <c r="M375" s="8" t="s">
        <v>2594</v>
      </c>
      <c r="N375" s="8" t="s">
        <v>125</v>
      </c>
      <c r="O375" s="8" t="s">
        <v>352</v>
      </c>
      <c r="P375" s="6" t="s">
        <v>44</v>
      </c>
      <c r="Q375" s="8" t="s">
        <v>45</v>
      </c>
      <c r="R375" s="10" t="s">
        <v>2590</v>
      </c>
      <c r="S375" s="11"/>
      <c r="T375" s="6"/>
      <c r="U375" s="24" t="str">
        <f>HYPERLINK("https://media.infra-m.ru/2217/2217137/cover/2217137.jpg", "Обложка")</f>
        <v>Обложка</v>
      </c>
      <c r="V375" s="24" t="str">
        <f>HYPERLINK("https://znanium.ru/catalog/product/2217137", "Ознакомиться")</f>
        <v>Ознакомиться</v>
      </c>
      <c r="W375" s="8" t="s">
        <v>1552</v>
      </c>
      <c r="X375" s="6"/>
      <c r="Y375" s="6"/>
      <c r="Z375" s="6"/>
      <c r="AA375" s="6" t="s">
        <v>2226</v>
      </c>
      <c r="AB375" s="8"/>
    </row>
    <row r="376" spans="1:28" s="4" customFormat="1" ht="51.95" customHeight="1">
      <c r="A376" s="5">
        <v>0</v>
      </c>
      <c r="B376" s="6" t="s">
        <v>2595</v>
      </c>
      <c r="C376" s="13">
        <v>410</v>
      </c>
      <c r="D376" s="8" t="s">
        <v>2596</v>
      </c>
      <c r="E376" s="8" t="s">
        <v>2597</v>
      </c>
      <c r="F376" s="8" t="s">
        <v>2598</v>
      </c>
      <c r="G376" s="6" t="s">
        <v>67</v>
      </c>
      <c r="H376" s="6" t="s">
        <v>299</v>
      </c>
      <c r="I376" s="8" t="s">
        <v>40</v>
      </c>
      <c r="J376" s="9">
        <v>1</v>
      </c>
      <c r="K376" s="9">
        <v>96</v>
      </c>
      <c r="L376" s="9">
        <v>2020</v>
      </c>
      <c r="M376" s="8" t="s">
        <v>2599</v>
      </c>
      <c r="N376" s="8" t="s">
        <v>125</v>
      </c>
      <c r="O376" s="8" t="s">
        <v>126</v>
      </c>
      <c r="P376" s="6" t="s">
        <v>44</v>
      </c>
      <c r="Q376" s="8" t="s">
        <v>45</v>
      </c>
      <c r="R376" s="10" t="s">
        <v>2600</v>
      </c>
      <c r="S376" s="11" t="s">
        <v>2601</v>
      </c>
      <c r="T376" s="6"/>
      <c r="U376" s="24" t="str">
        <f>HYPERLINK("https://media.infra-m.ru/1128/1128281/cover/1128281.jpg", "Обложка")</f>
        <v>Обложка</v>
      </c>
      <c r="V376" s="24" t="str">
        <f>HYPERLINK("https://znanium.ru/catalog/product/1200567", "Ознакомиться")</f>
        <v>Ознакомиться</v>
      </c>
      <c r="W376" s="8" t="s">
        <v>2602</v>
      </c>
      <c r="X376" s="6"/>
      <c r="Y376" s="6"/>
      <c r="Z376" s="6"/>
      <c r="AA376" s="6" t="s">
        <v>147</v>
      </c>
      <c r="AB376" s="8"/>
    </row>
    <row r="377" spans="1:28" s="4" customFormat="1" ht="51.95" customHeight="1">
      <c r="A377" s="5">
        <v>0</v>
      </c>
      <c r="B377" s="6" t="s">
        <v>2603</v>
      </c>
      <c r="C377" s="13">
        <v>990</v>
      </c>
      <c r="D377" s="8" t="s">
        <v>2604</v>
      </c>
      <c r="E377" s="8" t="s">
        <v>2605</v>
      </c>
      <c r="F377" s="8" t="s">
        <v>2606</v>
      </c>
      <c r="G377" s="6" t="s">
        <v>90</v>
      </c>
      <c r="H377" s="6" t="s">
        <v>54</v>
      </c>
      <c r="I377" s="8" t="s">
        <v>40</v>
      </c>
      <c r="J377" s="9">
        <v>1</v>
      </c>
      <c r="K377" s="9">
        <v>209</v>
      </c>
      <c r="L377" s="9">
        <v>2023</v>
      </c>
      <c r="M377" s="8" t="s">
        <v>2607</v>
      </c>
      <c r="N377" s="8" t="s">
        <v>125</v>
      </c>
      <c r="O377" s="8" t="s">
        <v>126</v>
      </c>
      <c r="P377" s="6" t="s">
        <v>44</v>
      </c>
      <c r="Q377" s="8" t="s">
        <v>45</v>
      </c>
      <c r="R377" s="10" t="s">
        <v>2600</v>
      </c>
      <c r="S377" s="11" t="s">
        <v>2608</v>
      </c>
      <c r="T377" s="6"/>
      <c r="U377" s="24" t="str">
        <f>HYPERLINK("https://media.infra-m.ru/1200/1200567/cover/1200567.jpg", "Обложка")</f>
        <v>Обложка</v>
      </c>
      <c r="V377" s="24" t="str">
        <f>HYPERLINK("https://znanium.ru/catalog/product/1200567", "Ознакомиться")</f>
        <v>Ознакомиться</v>
      </c>
      <c r="W377" s="8" t="s">
        <v>2602</v>
      </c>
      <c r="X377" s="6"/>
      <c r="Y377" s="6"/>
      <c r="Z377" s="6"/>
      <c r="AA377" s="6" t="s">
        <v>362</v>
      </c>
      <c r="AB377" s="8"/>
    </row>
    <row r="378" spans="1:28" s="4" customFormat="1" ht="51.95" customHeight="1">
      <c r="A378" s="5">
        <v>0</v>
      </c>
      <c r="B378" s="6" t="s">
        <v>2609</v>
      </c>
      <c r="C378" s="13">
        <v>734</v>
      </c>
      <c r="D378" s="8" t="s">
        <v>2610</v>
      </c>
      <c r="E378" s="8" t="s">
        <v>2611</v>
      </c>
      <c r="F378" s="8" t="s">
        <v>2612</v>
      </c>
      <c r="G378" s="6" t="s">
        <v>38</v>
      </c>
      <c r="H378" s="6" t="s">
        <v>299</v>
      </c>
      <c r="I378" s="8" t="s">
        <v>40</v>
      </c>
      <c r="J378" s="9">
        <v>1</v>
      </c>
      <c r="K378" s="9">
        <v>160</v>
      </c>
      <c r="L378" s="9">
        <v>2023</v>
      </c>
      <c r="M378" s="8" t="s">
        <v>2613</v>
      </c>
      <c r="N378" s="8" t="s">
        <v>125</v>
      </c>
      <c r="O378" s="8" t="s">
        <v>126</v>
      </c>
      <c r="P378" s="6" t="s">
        <v>44</v>
      </c>
      <c r="Q378" s="8" t="s">
        <v>45</v>
      </c>
      <c r="R378" s="10" t="s">
        <v>848</v>
      </c>
      <c r="S378" s="11" t="s">
        <v>2614</v>
      </c>
      <c r="T378" s="6"/>
      <c r="U378" s="24" t="str">
        <f>HYPERLINK("https://media.infra-m.ru/2021/2021469/cover/2021469.jpg", "Обложка")</f>
        <v>Обложка</v>
      </c>
      <c r="V378" s="24" t="str">
        <f>HYPERLINK("https://znanium.ru/catalog/product/1031931", "Ознакомиться")</f>
        <v>Ознакомиться</v>
      </c>
      <c r="W378" s="8" t="s">
        <v>73</v>
      </c>
      <c r="X378" s="6"/>
      <c r="Y378" s="6"/>
      <c r="Z378" s="6" t="s">
        <v>48</v>
      </c>
      <c r="AA378" s="6" t="s">
        <v>111</v>
      </c>
      <c r="AB378" s="8"/>
    </row>
    <row r="379" spans="1:28" s="4" customFormat="1" ht="51.95" customHeight="1">
      <c r="A379" s="5">
        <v>0</v>
      </c>
      <c r="B379" s="6" t="s">
        <v>2615</v>
      </c>
      <c r="C379" s="7">
        <v>1354</v>
      </c>
      <c r="D379" s="8" t="s">
        <v>2616</v>
      </c>
      <c r="E379" s="8" t="s">
        <v>2617</v>
      </c>
      <c r="F379" s="8" t="s">
        <v>2618</v>
      </c>
      <c r="G379" s="6" t="s">
        <v>90</v>
      </c>
      <c r="H379" s="6" t="s">
        <v>54</v>
      </c>
      <c r="I379" s="8" t="s">
        <v>40</v>
      </c>
      <c r="J379" s="9">
        <v>1</v>
      </c>
      <c r="K379" s="9">
        <v>259</v>
      </c>
      <c r="L379" s="9">
        <v>2026</v>
      </c>
      <c r="M379" s="8" t="s">
        <v>2619</v>
      </c>
      <c r="N379" s="8" t="s">
        <v>125</v>
      </c>
      <c r="O379" s="8" t="s">
        <v>1630</v>
      </c>
      <c r="P379" s="6" t="s">
        <v>44</v>
      </c>
      <c r="Q379" s="8" t="s">
        <v>45</v>
      </c>
      <c r="R379" s="10" t="s">
        <v>2620</v>
      </c>
      <c r="S379" s="11" t="s">
        <v>2621</v>
      </c>
      <c r="T379" s="6"/>
      <c r="U379" s="24" t="str">
        <f>HYPERLINK("https://media.infra-m.ru/2108/2108585/cover/2108585.jpg", "Обложка")</f>
        <v>Обложка</v>
      </c>
      <c r="V379" s="24" t="str">
        <f>HYPERLINK("https://znanium.ru/catalog/product/2015306", "Ознакомиться")</f>
        <v>Ознакомиться</v>
      </c>
      <c r="W379" s="8" t="s">
        <v>82</v>
      </c>
      <c r="X379" s="6"/>
      <c r="Y379" s="6"/>
      <c r="Z379" s="6" t="s">
        <v>48</v>
      </c>
      <c r="AA379" s="6" t="s">
        <v>2226</v>
      </c>
      <c r="AB379" s="8"/>
    </row>
    <row r="380" spans="1:28" s="4" customFormat="1" ht="51.95" customHeight="1">
      <c r="A380" s="5">
        <v>0</v>
      </c>
      <c r="B380" s="6" t="s">
        <v>2622</v>
      </c>
      <c r="C380" s="7">
        <v>1280</v>
      </c>
      <c r="D380" s="8" t="s">
        <v>2623</v>
      </c>
      <c r="E380" s="8" t="s">
        <v>2624</v>
      </c>
      <c r="F380" s="8" t="s">
        <v>2625</v>
      </c>
      <c r="G380" s="6" t="s">
        <v>90</v>
      </c>
      <c r="H380" s="6" t="s">
        <v>54</v>
      </c>
      <c r="I380" s="8" t="s">
        <v>40</v>
      </c>
      <c r="J380" s="9">
        <v>1</v>
      </c>
      <c r="K380" s="9">
        <v>316</v>
      </c>
      <c r="L380" s="9">
        <v>2021</v>
      </c>
      <c r="M380" s="8" t="s">
        <v>2626</v>
      </c>
      <c r="N380" s="8" t="s">
        <v>125</v>
      </c>
      <c r="O380" s="8" t="s">
        <v>432</v>
      </c>
      <c r="P380" s="6" t="s">
        <v>44</v>
      </c>
      <c r="Q380" s="8" t="s">
        <v>45</v>
      </c>
      <c r="R380" s="10" t="s">
        <v>464</v>
      </c>
      <c r="S380" s="11" t="s">
        <v>1243</v>
      </c>
      <c r="T380" s="6"/>
      <c r="U380" s="24" t="str">
        <f>HYPERLINK("https://media.infra-m.ru/1408/1408883/cover/1408883.jpg", "Обложка")</f>
        <v>Обложка</v>
      </c>
      <c r="V380" s="24" t="str">
        <f>HYPERLINK("https://znanium.ru/catalog/product/1408883", "Ознакомиться")</f>
        <v>Ознакомиться</v>
      </c>
      <c r="W380" s="8" t="s">
        <v>82</v>
      </c>
      <c r="X380" s="6"/>
      <c r="Y380" s="6"/>
      <c r="Z380" s="6" t="s">
        <v>48</v>
      </c>
      <c r="AA380" s="6" t="s">
        <v>999</v>
      </c>
      <c r="AB380" s="8"/>
    </row>
    <row r="381" spans="1:28" s="4" customFormat="1" ht="51.95" customHeight="1">
      <c r="A381" s="5">
        <v>0</v>
      </c>
      <c r="B381" s="6" t="s">
        <v>2627</v>
      </c>
      <c r="C381" s="7">
        <v>1340</v>
      </c>
      <c r="D381" s="8" t="s">
        <v>2628</v>
      </c>
      <c r="E381" s="8" t="s">
        <v>2629</v>
      </c>
      <c r="F381" s="8" t="s">
        <v>1212</v>
      </c>
      <c r="G381" s="6" t="s">
        <v>90</v>
      </c>
      <c r="H381" s="6" t="s">
        <v>54</v>
      </c>
      <c r="I381" s="8" t="s">
        <v>40</v>
      </c>
      <c r="J381" s="9">
        <v>1</v>
      </c>
      <c r="K381" s="9">
        <v>352</v>
      </c>
      <c r="L381" s="9">
        <v>2022</v>
      </c>
      <c r="M381" s="8" t="s">
        <v>2630</v>
      </c>
      <c r="N381" s="8" t="s">
        <v>125</v>
      </c>
      <c r="O381" s="8" t="s">
        <v>432</v>
      </c>
      <c r="P381" s="6" t="s">
        <v>44</v>
      </c>
      <c r="Q381" s="8" t="s">
        <v>45</v>
      </c>
      <c r="R381" s="10" t="s">
        <v>1405</v>
      </c>
      <c r="S381" s="11" t="s">
        <v>2631</v>
      </c>
      <c r="T381" s="6"/>
      <c r="U381" s="24" t="str">
        <f>HYPERLINK("https://media.infra-m.ru/1864/1864058/cover/1864058.jpg", "Обложка")</f>
        <v>Обложка</v>
      </c>
      <c r="V381" s="24" t="str">
        <f>HYPERLINK("https://znanium.ru/catalog/product/1864058", "Ознакомиться")</f>
        <v>Ознакомиться</v>
      </c>
      <c r="W381" s="8" t="s">
        <v>82</v>
      </c>
      <c r="X381" s="6"/>
      <c r="Y381" s="6"/>
      <c r="Z381" s="6" t="s">
        <v>48</v>
      </c>
      <c r="AA381" s="6" t="s">
        <v>500</v>
      </c>
      <c r="AB381" s="8"/>
    </row>
    <row r="382" spans="1:28" s="4" customFormat="1" ht="51.95" customHeight="1">
      <c r="A382" s="5">
        <v>0</v>
      </c>
      <c r="B382" s="6" t="s">
        <v>2632</v>
      </c>
      <c r="C382" s="7">
        <v>2052</v>
      </c>
      <c r="D382" s="8" t="s">
        <v>2633</v>
      </c>
      <c r="E382" s="8" t="s">
        <v>2634</v>
      </c>
      <c r="F382" s="8" t="s">
        <v>2635</v>
      </c>
      <c r="G382" s="6" t="s">
        <v>90</v>
      </c>
      <c r="H382" s="6" t="s">
        <v>39</v>
      </c>
      <c r="I382" s="8" t="s">
        <v>40</v>
      </c>
      <c r="J382" s="9">
        <v>1</v>
      </c>
      <c r="K382" s="9">
        <v>304</v>
      </c>
      <c r="L382" s="9">
        <v>2025</v>
      </c>
      <c r="M382" s="8" t="s">
        <v>2636</v>
      </c>
      <c r="N382" s="8" t="s">
        <v>56</v>
      </c>
      <c r="O382" s="8" t="s">
        <v>807</v>
      </c>
      <c r="P382" s="6" t="s">
        <v>44</v>
      </c>
      <c r="Q382" s="8" t="s">
        <v>45</v>
      </c>
      <c r="R382" s="10" t="s">
        <v>2637</v>
      </c>
      <c r="S382" s="11" t="s">
        <v>2638</v>
      </c>
      <c r="T382" s="6"/>
      <c r="U382" s="24" t="str">
        <f>HYPERLINK("https://media.infra-m.ru/2192/2192593/cover/2192593.jpg", "Обложка")</f>
        <v>Обложка</v>
      </c>
      <c r="V382" s="24" t="str">
        <f>HYPERLINK("https://znanium.ru/catalog/product/2192593", "Ознакомиться")</f>
        <v>Ознакомиться</v>
      </c>
      <c r="W382" s="8" t="s">
        <v>2639</v>
      </c>
      <c r="X382" s="6"/>
      <c r="Y382" s="6"/>
      <c r="Z382" s="6" t="s">
        <v>48</v>
      </c>
      <c r="AA382" s="6" t="s">
        <v>111</v>
      </c>
      <c r="AB382" s="8"/>
    </row>
    <row r="383" spans="1:28" s="4" customFormat="1" ht="51.95" customHeight="1">
      <c r="A383" s="5">
        <v>0</v>
      </c>
      <c r="B383" s="6" t="s">
        <v>2640</v>
      </c>
      <c r="C383" s="13">
        <v>920</v>
      </c>
      <c r="D383" s="8" t="s">
        <v>2641</v>
      </c>
      <c r="E383" s="8" t="s">
        <v>2642</v>
      </c>
      <c r="F383" s="8" t="s">
        <v>2420</v>
      </c>
      <c r="G383" s="6" t="s">
        <v>90</v>
      </c>
      <c r="H383" s="6" t="s">
        <v>54</v>
      </c>
      <c r="I383" s="8" t="s">
        <v>40</v>
      </c>
      <c r="J383" s="9">
        <v>1</v>
      </c>
      <c r="K383" s="9">
        <v>178</v>
      </c>
      <c r="L383" s="9">
        <v>2025</v>
      </c>
      <c r="M383" s="8" t="s">
        <v>2643</v>
      </c>
      <c r="N383" s="8" t="s">
        <v>42</v>
      </c>
      <c r="O383" s="8" t="s">
        <v>169</v>
      </c>
      <c r="P383" s="6" t="s">
        <v>58</v>
      </c>
      <c r="Q383" s="8" t="s">
        <v>45</v>
      </c>
      <c r="R383" s="10" t="s">
        <v>2644</v>
      </c>
      <c r="S383" s="11" t="s">
        <v>2645</v>
      </c>
      <c r="T383" s="6"/>
      <c r="U383" s="24" t="str">
        <f>HYPERLINK("https://media.infra-m.ru/2184/2184890/cover/2184890.jpg", "Обложка")</f>
        <v>Обложка</v>
      </c>
      <c r="V383" s="24" t="str">
        <f>HYPERLINK("https://znanium.ru/catalog/product/2184890", "Ознакомиться")</f>
        <v>Ознакомиться</v>
      </c>
      <c r="W383" s="8" t="s">
        <v>2423</v>
      </c>
      <c r="X383" s="6"/>
      <c r="Y383" s="6"/>
      <c r="Z383" s="6" t="s">
        <v>48</v>
      </c>
      <c r="AA383" s="6" t="s">
        <v>999</v>
      </c>
      <c r="AB383" s="8"/>
    </row>
    <row r="384" spans="1:28" s="4" customFormat="1" ht="51.95" customHeight="1">
      <c r="A384" s="5">
        <v>0</v>
      </c>
      <c r="B384" s="6" t="s">
        <v>2646</v>
      </c>
      <c r="C384" s="7">
        <v>2200</v>
      </c>
      <c r="D384" s="8" t="s">
        <v>2647</v>
      </c>
      <c r="E384" s="8" t="s">
        <v>2648</v>
      </c>
      <c r="F384" s="8" t="s">
        <v>2649</v>
      </c>
      <c r="G384" s="6" t="s">
        <v>90</v>
      </c>
      <c r="H384" s="6" t="s">
        <v>54</v>
      </c>
      <c r="I384" s="8" t="s">
        <v>40</v>
      </c>
      <c r="J384" s="9">
        <v>1</v>
      </c>
      <c r="K384" s="9">
        <v>400</v>
      </c>
      <c r="L384" s="9">
        <v>2026</v>
      </c>
      <c r="M384" s="8" t="s">
        <v>2650</v>
      </c>
      <c r="N384" s="8" t="s">
        <v>42</v>
      </c>
      <c r="O384" s="8" t="s">
        <v>43</v>
      </c>
      <c r="P384" s="6" t="s">
        <v>44</v>
      </c>
      <c r="Q384" s="8" t="s">
        <v>45</v>
      </c>
      <c r="R384" s="10" t="s">
        <v>2651</v>
      </c>
      <c r="S384" s="11" t="s">
        <v>2652</v>
      </c>
      <c r="T384" s="6" t="s">
        <v>118</v>
      </c>
      <c r="U384" s="24" t="str">
        <f>HYPERLINK("https://media.infra-m.ru/2225/2225954/cover/2225954.jpg", "Обложка")</f>
        <v>Обложка</v>
      </c>
      <c r="V384" s="24" t="str">
        <f>HYPERLINK("https://znanium.ru/catalog/product/2225954", "Ознакомиться")</f>
        <v>Ознакомиться</v>
      </c>
      <c r="W384" s="8" t="s">
        <v>2653</v>
      </c>
      <c r="X384" s="6"/>
      <c r="Y384" s="6" t="s">
        <v>30</v>
      </c>
      <c r="Z384" s="6" t="s">
        <v>48</v>
      </c>
      <c r="AA384" s="6" t="s">
        <v>129</v>
      </c>
      <c r="AB384" s="8" t="s">
        <v>401</v>
      </c>
    </row>
    <row r="385" spans="1:28" s="4" customFormat="1" ht="42" customHeight="1">
      <c r="A385" s="5">
        <v>0</v>
      </c>
      <c r="B385" s="6" t="s">
        <v>2654</v>
      </c>
      <c r="C385" s="7">
        <v>1600</v>
      </c>
      <c r="D385" s="8" t="s">
        <v>2655</v>
      </c>
      <c r="E385" s="8" t="s">
        <v>2656</v>
      </c>
      <c r="F385" s="8" t="s">
        <v>2245</v>
      </c>
      <c r="G385" s="6" t="s">
        <v>38</v>
      </c>
      <c r="H385" s="6" t="s">
        <v>54</v>
      </c>
      <c r="I385" s="8" t="s">
        <v>40</v>
      </c>
      <c r="J385" s="9">
        <v>1</v>
      </c>
      <c r="K385" s="9">
        <v>258</v>
      </c>
      <c r="L385" s="9">
        <v>2026</v>
      </c>
      <c r="M385" s="8" t="s">
        <v>2657</v>
      </c>
      <c r="N385" s="8" t="s">
        <v>42</v>
      </c>
      <c r="O385" s="8" t="s">
        <v>43</v>
      </c>
      <c r="P385" s="6" t="s">
        <v>44</v>
      </c>
      <c r="Q385" s="8" t="s">
        <v>45</v>
      </c>
      <c r="R385" s="10" t="s">
        <v>2658</v>
      </c>
      <c r="S385" s="11"/>
      <c r="T385" s="6"/>
      <c r="U385" s="24" t="str">
        <f>HYPERLINK("https://media.infra-m.ru/2180/2180075/cover/2180075.jpg", "Обложка")</f>
        <v>Обложка</v>
      </c>
      <c r="V385" s="24" t="str">
        <f>HYPERLINK("https://znanium.ru/catalog/product/2180075", "Ознакомиться")</f>
        <v>Ознакомиться</v>
      </c>
      <c r="W385" s="8" t="s">
        <v>180</v>
      </c>
      <c r="X385" s="6" t="s">
        <v>61</v>
      </c>
      <c r="Y385" s="6"/>
      <c r="Z385" s="6"/>
      <c r="AA385" s="6" t="s">
        <v>62</v>
      </c>
      <c r="AB385" s="8"/>
    </row>
    <row r="386" spans="1:28" s="4" customFormat="1" ht="51.95" customHeight="1">
      <c r="A386" s="5">
        <v>0</v>
      </c>
      <c r="B386" s="6" t="s">
        <v>2659</v>
      </c>
      <c r="C386" s="7">
        <v>2044</v>
      </c>
      <c r="D386" s="8" t="s">
        <v>2660</v>
      </c>
      <c r="E386" s="8" t="s">
        <v>2661</v>
      </c>
      <c r="F386" s="8" t="s">
        <v>2662</v>
      </c>
      <c r="G386" s="6" t="s">
        <v>38</v>
      </c>
      <c r="H386" s="6" t="s">
        <v>54</v>
      </c>
      <c r="I386" s="8" t="s">
        <v>40</v>
      </c>
      <c r="J386" s="9">
        <v>1</v>
      </c>
      <c r="K386" s="9">
        <v>455</v>
      </c>
      <c r="L386" s="9">
        <v>2023</v>
      </c>
      <c r="M386" s="8" t="s">
        <v>2663</v>
      </c>
      <c r="N386" s="8" t="s">
        <v>42</v>
      </c>
      <c r="O386" s="8" t="s">
        <v>169</v>
      </c>
      <c r="P386" s="6" t="s">
        <v>44</v>
      </c>
      <c r="Q386" s="8" t="s">
        <v>45</v>
      </c>
      <c r="R386" s="10" t="s">
        <v>2664</v>
      </c>
      <c r="S386" s="11" t="s">
        <v>2665</v>
      </c>
      <c r="T386" s="6" t="s">
        <v>118</v>
      </c>
      <c r="U386" s="24" t="str">
        <f>HYPERLINK("https://media.infra-m.ru/2030/2030855/cover/2030855.jpg", "Обложка")</f>
        <v>Обложка</v>
      </c>
      <c r="V386" s="24" t="str">
        <f>HYPERLINK("https://znanium.ru/catalog/product/1048798", "Ознакомиться")</f>
        <v>Ознакомиться</v>
      </c>
      <c r="W386" s="8" t="s">
        <v>2666</v>
      </c>
      <c r="X386" s="6"/>
      <c r="Y386" s="6"/>
      <c r="Z386" s="6"/>
      <c r="AA386" s="6" t="s">
        <v>223</v>
      </c>
      <c r="AB386" s="8"/>
    </row>
    <row r="387" spans="1:28" s="4" customFormat="1" ht="51.95" customHeight="1">
      <c r="A387" s="5">
        <v>0</v>
      </c>
      <c r="B387" s="6" t="s">
        <v>2667</v>
      </c>
      <c r="C387" s="13">
        <v>990</v>
      </c>
      <c r="D387" s="8" t="s">
        <v>2668</v>
      </c>
      <c r="E387" s="8" t="s">
        <v>2669</v>
      </c>
      <c r="F387" s="8" t="s">
        <v>2670</v>
      </c>
      <c r="G387" s="6" t="s">
        <v>90</v>
      </c>
      <c r="H387" s="6" t="s">
        <v>39</v>
      </c>
      <c r="I387" s="8" t="s">
        <v>40</v>
      </c>
      <c r="J387" s="9">
        <v>1</v>
      </c>
      <c r="K387" s="9">
        <v>190</v>
      </c>
      <c r="L387" s="9">
        <v>2025</v>
      </c>
      <c r="M387" s="8" t="s">
        <v>2671</v>
      </c>
      <c r="N387" s="8" t="s">
        <v>42</v>
      </c>
      <c r="O387" s="8" t="s">
        <v>43</v>
      </c>
      <c r="P387" s="6" t="s">
        <v>44</v>
      </c>
      <c r="Q387" s="8" t="s">
        <v>45</v>
      </c>
      <c r="R387" s="10" t="s">
        <v>2672</v>
      </c>
      <c r="S387" s="11" t="s">
        <v>2673</v>
      </c>
      <c r="T387" s="6"/>
      <c r="U387" s="24" t="str">
        <f>HYPERLINK("https://media.infra-m.ru/2166/2166198/cover/2166198.jpg", "Обложка")</f>
        <v>Обложка</v>
      </c>
      <c r="V387" s="24" t="str">
        <f>HYPERLINK("https://znanium.ru/catalog/product/2166198", "Ознакомиться")</f>
        <v>Ознакомиться</v>
      </c>
      <c r="W387" s="8" t="s">
        <v>2674</v>
      </c>
      <c r="X387" s="6"/>
      <c r="Y387" s="6"/>
      <c r="Z387" s="6"/>
      <c r="AA387" s="6" t="s">
        <v>2675</v>
      </c>
      <c r="AB387" s="8"/>
    </row>
    <row r="388" spans="1:28" s="4" customFormat="1" ht="51.95" customHeight="1">
      <c r="A388" s="5">
        <v>0</v>
      </c>
      <c r="B388" s="6" t="s">
        <v>2676</v>
      </c>
      <c r="C388" s="7">
        <v>2414</v>
      </c>
      <c r="D388" s="8" t="s">
        <v>2677</v>
      </c>
      <c r="E388" s="8" t="s">
        <v>2678</v>
      </c>
      <c r="F388" s="8" t="s">
        <v>2679</v>
      </c>
      <c r="G388" s="6" t="s">
        <v>38</v>
      </c>
      <c r="H388" s="6" t="s">
        <v>39</v>
      </c>
      <c r="I388" s="8" t="s">
        <v>40</v>
      </c>
      <c r="J388" s="9">
        <v>1</v>
      </c>
      <c r="K388" s="9">
        <v>464</v>
      </c>
      <c r="L388" s="9">
        <v>2026</v>
      </c>
      <c r="M388" s="8" t="s">
        <v>2680</v>
      </c>
      <c r="N388" s="8" t="s">
        <v>42</v>
      </c>
      <c r="O388" s="8" t="s">
        <v>43</v>
      </c>
      <c r="P388" s="6" t="s">
        <v>44</v>
      </c>
      <c r="Q388" s="8" t="s">
        <v>45</v>
      </c>
      <c r="R388" s="10" t="s">
        <v>2681</v>
      </c>
      <c r="S388" s="11" t="s">
        <v>2682</v>
      </c>
      <c r="T388" s="6"/>
      <c r="U388" s="24" t="str">
        <f>HYPERLINK("https://media.infra-m.ru/2216/2216058/cover/2216058.jpg", "Обложка")</f>
        <v>Обложка</v>
      </c>
      <c r="V388" s="24" t="str">
        <f>HYPERLINK("https://znanium.ru/catalog/product/2205439", "Ознакомиться")</f>
        <v>Ознакомиться</v>
      </c>
      <c r="W388" s="8" t="s">
        <v>818</v>
      </c>
      <c r="X388" s="6"/>
      <c r="Y388" s="6" t="s">
        <v>30</v>
      </c>
      <c r="Z388" s="6"/>
      <c r="AA388" s="6" t="s">
        <v>529</v>
      </c>
      <c r="AB388" s="8"/>
    </row>
    <row r="389" spans="1:28" s="4" customFormat="1" ht="42" customHeight="1">
      <c r="A389" s="5">
        <v>0</v>
      </c>
      <c r="B389" s="6" t="s">
        <v>2683</v>
      </c>
      <c r="C389" s="13">
        <v>834</v>
      </c>
      <c r="D389" s="8" t="s">
        <v>2684</v>
      </c>
      <c r="E389" s="8" t="s">
        <v>2685</v>
      </c>
      <c r="F389" s="8" t="s">
        <v>2686</v>
      </c>
      <c r="G389" s="6" t="s">
        <v>67</v>
      </c>
      <c r="H389" s="6" t="s">
        <v>39</v>
      </c>
      <c r="I389" s="8"/>
      <c r="J389" s="9">
        <v>1</v>
      </c>
      <c r="K389" s="9">
        <v>176</v>
      </c>
      <c r="L389" s="9">
        <v>2024</v>
      </c>
      <c r="M389" s="8" t="s">
        <v>2687</v>
      </c>
      <c r="N389" s="8" t="s">
        <v>42</v>
      </c>
      <c r="O389" s="8" t="s">
        <v>43</v>
      </c>
      <c r="P389" s="6" t="s">
        <v>44</v>
      </c>
      <c r="Q389" s="8" t="s">
        <v>45</v>
      </c>
      <c r="R389" s="10" t="s">
        <v>2688</v>
      </c>
      <c r="S389" s="11"/>
      <c r="T389" s="6"/>
      <c r="U389" s="24" t="str">
        <f>HYPERLINK("https://media.infra-m.ru/1927/1927323/cover/1927323.jpg", "Обложка")</f>
        <v>Обложка</v>
      </c>
      <c r="V389" s="12"/>
      <c r="W389" s="8" t="s">
        <v>2494</v>
      </c>
      <c r="X389" s="6"/>
      <c r="Y389" s="6"/>
      <c r="Z389" s="6"/>
      <c r="AA389" s="6" t="s">
        <v>261</v>
      </c>
      <c r="AB389" s="8"/>
    </row>
    <row r="390" spans="1:28" s="4" customFormat="1" ht="51.95" customHeight="1">
      <c r="A390" s="5">
        <v>0</v>
      </c>
      <c r="B390" s="6" t="s">
        <v>2689</v>
      </c>
      <c r="C390" s="13">
        <v>370</v>
      </c>
      <c r="D390" s="8" t="s">
        <v>2690</v>
      </c>
      <c r="E390" s="8" t="s">
        <v>2691</v>
      </c>
      <c r="F390" s="8" t="s">
        <v>2692</v>
      </c>
      <c r="G390" s="6" t="s">
        <v>67</v>
      </c>
      <c r="H390" s="6" t="s">
        <v>134</v>
      </c>
      <c r="I390" s="8" t="s">
        <v>40</v>
      </c>
      <c r="J390" s="14">
        <v>0</v>
      </c>
      <c r="K390" s="9">
        <v>136</v>
      </c>
      <c r="L390" s="9">
        <v>2019</v>
      </c>
      <c r="M390" s="8" t="s">
        <v>2693</v>
      </c>
      <c r="N390" s="8" t="s">
        <v>42</v>
      </c>
      <c r="O390" s="8" t="s">
        <v>243</v>
      </c>
      <c r="P390" s="6" t="s">
        <v>44</v>
      </c>
      <c r="Q390" s="8" t="s">
        <v>45</v>
      </c>
      <c r="R390" s="10" t="s">
        <v>2694</v>
      </c>
      <c r="S390" s="11"/>
      <c r="T390" s="6"/>
      <c r="U390" s="24" t="str">
        <f>HYPERLINK("https://media.infra-m.ru/0961/0961484/cover/961484.jpg", "Обложка")</f>
        <v>Обложка</v>
      </c>
      <c r="V390" s="12"/>
      <c r="W390" s="8" t="s">
        <v>2695</v>
      </c>
      <c r="X390" s="6"/>
      <c r="Y390" s="6"/>
      <c r="Z390" s="6" t="s">
        <v>48</v>
      </c>
      <c r="AA390" s="6" t="s">
        <v>111</v>
      </c>
      <c r="AB390" s="8"/>
    </row>
    <row r="391" spans="1:28" s="4" customFormat="1" ht="42" customHeight="1">
      <c r="A391" s="5">
        <v>0</v>
      </c>
      <c r="B391" s="6" t="s">
        <v>2696</v>
      </c>
      <c r="C391" s="7">
        <v>1889.9</v>
      </c>
      <c r="D391" s="8" t="s">
        <v>2697</v>
      </c>
      <c r="E391" s="8" t="s">
        <v>2698</v>
      </c>
      <c r="F391" s="8" t="s">
        <v>2699</v>
      </c>
      <c r="G391" s="6" t="s">
        <v>38</v>
      </c>
      <c r="H391" s="6" t="s">
        <v>359</v>
      </c>
      <c r="I391" s="8"/>
      <c r="J391" s="9">
        <v>1</v>
      </c>
      <c r="K391" s="9">
        <v>496</v>
      </c>
      <c r="L391" s="9">
        <v>2022</v>
      </c>
      <c r="M391" s="8" t="s">
        <v>2700</v>
      </c>
      <c r="N391" s="8" t="s">
        <v>125</v>
      </c>
      <c r="O391" s="8" t="s">
        <v>352</v>
      </c>
      <c r="P391" s="6" t="s">
        <v>58</v>
      </c>
      <c r="Q391" s="8" t="s">
        <v>45</v>
      </c>
      <c r="R391" s="10" t="s">
        <v>108</v>
      </c>
      <c r="S391" s="11"/>
      <c r="T391" s="6"/>
      <c r="U391" s="24" t="str">
        <f>HYPERLINK("https://media.infra-m.ru/1861/1861456/cover/1861456.jpg", "Обложка")</f>
        <v>Обложка</v>
      </c>
      <c r="V391" s="24" t="str">
        <f>HYPERLINK("https://znanium.ru/catalog/product/2199671", "Ознакомиться")</f>
        <v>Ознакомиться</v>
      </c>
      <c r="W391" s="8" t="s">
        <v>1666</v>
      </c>
      <c r="X391" s="6"/>
      <c r="Y391" s="6"/>
      <c r="Z391" s="6"/>
      <c r="AA391" s="6" t="s">
        <v>500</v>
      </c>
      <c r="AB391" s="8"/>
    </row>
    <row r="392" spans="1:28" s="4" customFormat="1" ht="42" customHeight="1">
      <c r="A392" s="5">
        <v>0</v>
      </c>
      <c r="B392" s="6" t="s">
        <v>2701</v>
      </c>
      <c r="C392" s="13">
        <v>630</v>
      </c>
      <c r="D392" s="8" t="s">
        <v>2702</v>
      </c>
      <c r="E392" s="8" t="s">
        <v>2703</v>
      </c>
      <c r="F392" s="8" t="s">
        <v>2704</v>
      </c>
      <c r="G392" s="6" t="s">
        <v>67</v>
      </c>
      <c r="H392" s="6" t="s">
        <v>68</v>
      </c>
      <c r="I392" s="8" t="s">
        <v>69</v>
      </c>
      <c r="J392" s="9">
        <v>1</v>
      </c>
      <c r="K392" s="9">
        <v>115</v>
      </c>
      <c r="L392" s="9">
        <v>2025</v>
      </c>
      <c r="M392" s="8" t="s">
        <v>2705</v>
      </c>
      <c r="N392" s="8" t="s">
        <v>125</v>
      </c>
      <c r="O392" s="8" t="s">
        <v>352</v>
      </c>
      <c r="P392" s="6" t="s">
        <v>44</v>
      </c>
      <c r="Q392" s="8" t="s">
        <v>45</v>
      </c>
      <c r="R392" s="10" t="s">
        <v>108</v>
      </c>
      <c r="S392" s="11"/>
      <c r="T392" s="6"/>
      <c r="U392" s="24" t="str">
        <f>HYPERLINK("https://media.infra-m.ru/2185/2185075/cover/2185075.jpg", "Обложка")</f>
        <v>Обложка</v>
      </c>
      <c r="V392" s="24" t="str">
        <f>HYPERLINK("https://znanium.ru/catalog/product/2185075", "Ознакомиться")</f>
        <v>Ознакомиться</v>
      </c>
      <c r="W392" s="8" t="s">
        <v>2706</v>
      </c>
      <c r="X392" s="6" t="s">
        <v>1400</v>
      </c>
      <c r="Y392" s="6"/>
      <c r="Z392" s="6"/>
      <c r="AA392" s="6" t="s">
        <v>84</v>
      </c>
      <c r="AB392" s="8"/>
    </row>
    <row r="393" spans="1:28" s="4" customFormat="1" ht="42" customHeight="1">
      <c r="A393" s="5">
        <v>0</v>
      </c>
      <c r="B393" s="6" t="s">
        <v>2707</v>
      </c>
      <c r="C393" s="7">
        <v>1860</v>
      </c>
      <c r="D393" s="8" t="s">
        <v>2708</v>
      </c>
      <c r="E393" s="8" t="s">
        <v>2709</v>
      </c>
      <c r="F393" s="8" t="s">
        <v>2710</v>
      </c>
      <c r="G393" s="6" t="s">
        <v>38</v>
      </c>
      <c r="H393" s="6" t="s">
        <v>68</v>
      </c>
      <c r="I393" s="8" t="s">
        <v>69</v>
      </c>
      <c r="J393" s="9">
        <v>1</v>
      </c>
      <c r="K393" s="9">
        <v>398</v>
      </c>
      <c r="L393" s="9">
        <v>2022</v>
      </c>
      <c r="M393" s="8" t="s">
        <v>2711</v>
      </c>
      <c r="N393" s="8" t="s">
        <v>125</v>
      </c>
      <c r="O393" s="8" t="s">
        <v>352</v>
      </c>
      <c r="P393" s="6" t="s">
        <v>58</v>
      </c>
      <c r="Q393" s="8" t="s">
        <v>45</v>
      </c>
      <c r="R393" s="10" t="s">
        <v>2712</v>
      </c>
      <c r="S393" s="11"/>
      <c r="T393" s="6"/>
      <c r="U393" s="24" t="str">
        <f>HYPERLINK("https://media.infra-m.ru/1850/1850574/cover/1850574.jpg", "Обложка")</f>
        <v>Обложка</v>
      </c>
      <c r="V393" s="24" t="str">
        <f>HYPERLINK("https://znanium.ru/catalog/product/2186023", "Ознакомиться")</f>
        <v>Ознакомиться</v>
      </c>
      <c r="W393" s="8" t="s">
        <v>361</v>
      </c>
      <c r="X393" s="6"/>
      <c r="Y393" s="6"/>
      <c r="Z393" s="6" t="s">
        <v>48</v>
      </c>
      <c r="AA393" s="6" t="s">
        <v>500</v>
      </c>
      <c r="AB393" s="8"/>
    </row>
    <row r="394" spans="1:28" s="4" customFormat="1" ht="42" customHeight="1">
      <c r="A394" s="5">
        <v>0</v>
      </c>
      <c r="B394" s="6" t="s">
        <v>2713</v>
      </c>
      <c r="C394" s="7">
        <v>1990</v>
      </c>
      <c r="D394" s="8" t="s">
        <v>2714</v>
      </c>
      <c r="E394" s="8" t="s">
        <v>2715</v>
      </c>
      <c r="F394" s="8" t="s">
        <v>2710</v>
      </c>
      <c r="G394" s="6" t="s">
        <v>38</v>
      </c>
      <c r="H394" s="6" t="s">
        <v>68</v>
      </c>
      <c r="I394" s="8" t="s">
        <v>69</v>
      </c>
      <c r="J394" s="9">
        <v>1</v>
      </c>
      <c r="K394" s="9">
        <v>402</v>
      </c>
      <c r="L394" s="9">
        <v>2024</v>
      </c>
      <c r="M394" s="8" t="s">
        <v>2716</v>
      </c>
      <c r="N394" s="8" t="s">
        <v>125</v>
      </c>
      <c r="O394" s="8" t="s">
        <v>352</v>
      </c>
      <c r="P394" s="6" t="s">
        <v>58</v>
      </c>
      <c r="Q394" s="8" t="s">
        <v>45</v>
      </c>
      <c r="R394" s="10" t="s">
        <v>2712</v>
      </c>
      <c r="S394" s="11"/>
      <c r="T394" s="6"/>
      <c r="U394" s="24" t="str">
        <f>HYPERLINK("https://media.infra-m.ru/2185/2185019/cover/2185019.jpg", "Обложка")</f>
        <v>Обложка</v>
      </c>
      <c r="V394" s="24" t="str">
        <f>HYPERLINK("https://znanium.ru/catalog/product/2186023", "Ознакомиться")</f>
        <v>Ознакомиться</v>
      </c>
      <c r="W394" s="8" t="s">
        <v>361</v>
      </c>
      <c r="X394" s="6"/>
      <c r="Y394" s="6"/>
      <c r="Z394" s="6" t="s">
        <v>48</v>
      </c>
      <c r="AA394" s="6" t="s">
        <v>49</v>
      </c>
      <c r="AB394" s="8"/>
    </row>
    <row r="395" spans="1:28" s="4" customFormat="1" ht="42" customHeight="1">
      <c r="A395" s="5">
        <v>0</v>
      </c>
      <c r="B395" s="6" t="s">
        <v>2717</v>
      </c>
      <c r="C395" s="7">
        <v>2050</v>
      </c>
      <c r="D395" s="8" t="s">
        <v>2718</v>
      </c>
      <c r="E395" s="8" t="s">
        <v>2719</v>
      </c>
      <c r="F395" s="8" t="s">
        <v>2710</v>
      </c>
      <c r="G395" s="6" t="s">
        <v>38</v>
      </c>
      <c r="H395" s="6" t="s">
        <v>68</v>
      </c>
      <c r="I395" s="8" t="s">
        <v>69</v>
      </c>
      <c r="J395" s="9">
        <v>1</v>
      </c>
      <c r="K395" s="9">
        <v>405</v>
      </c>
      <c r="L395" s="9">
        <v>2025</v>
      </c>
      <c r="M395" s="8" t="s">
        <v>2720</v>
      </c>
      <c r="N395" s="8" t="s">
        <v>125</v>
      </c>
      <c r="O395" s="8" t="s">
        <v>352</v>
      </c>
      <c r="P395" s="6" t="s">
        <v>58</v>
      </c>
      <c r="Q395" s="8" t="s">
        <v>45</v>
      </c>
      <c r="R395" s="10" t="s">
        <v>2712</v>
      </c>
      <c r="S395" s="11"/>
      <c r="T395" s="6"/>
      <c r="U395" s="24" t="str">
        <f>HYPERLINK("https://media.infra-m.ru/2196/2196304/cover/2196304.jpg", "Обложка")</f>
        <v>Обложка</v>
      </c>
      <c r="V395" s="24" t="str">
        <f>HYPERLINK("https://znanium.ru/catalog/product/2186023", "Ознакомиться")</f>
        <v>Ознакомиться</v>
      </c>
      <c r="W395" s="8" t="s">
        <v>361</v>
      </c>
      <c r="X395" s="6"/>
      <c r="Y395" s="6"/>
      <c r="Z395" s="6" t="s">
        <v>48</v>
      </c>
      <c r="AA395" s="6" t="s">
        <v>368</v>
      </c>
      <c r="AB395" s="8"/>
    </row>
    <row r="396" spans="1:28" s="4" customFormat="1" ht="51.95" customHeight="1">
      <c r="A396" s="5">
        <v>0</v>
      </c>
      <c r="B396" s="6" t="s">
        <v>2721</v>
      </c>
      <c r="C396" s="7">
        <v>1530</v>
      </c>
      <c r="D396" s="8" t="s">
        <v>2722</v>
      </c>
      <c r="E396" s="8" t="s">
        <v>2723</v>
      </c>
      <c r="F396" s="8" t="s">
        <v>2724</v>
      </c>
      <c r="G396" s="6" t="s">
        <v>90</v>
      </c>
      <c r="H396" s="6" t="s">
        <v>54</v>
      </c>
      <c r="I396" s="8" t="s">
        <v>40</v>
      </c>
      <c r="J396" s="9">
        <v>1</v>
      </c>
      <c r="K396" s="9">
        <v>295</v>
      </c>
      <c r="L396" s="9">
        <v>2026</v>
      </c>
      <c r="M396" s="8" t="s">
        <v>2725</v>
      </c>
      <c r="N396" s="8" t="s">
        <v>42</v>
      </c>
      <c r="O396" s="8" t="s">
        <v>169</v>
      </c>
      <c r="P396" s="6" t="s">
        <v>58</v>
      </c>
      <c r="Q396" s="8" t="s">
        <v>45</v>
      </c>
      <c r="R396" s="10" t="s">
        <v>2726</v>
      </c>
      <c r="S396" s="11" t="s">
        <v>2727</v>
      </c>
      <c r="T396" s="6" t="s">
        <v>118</v>
      </c>
      <c r="U396" s="24" t="str">
        <f>HYPERLINK("https://media.infra-m.ru/2215/2215299/cover/2215299.jpg", "Обложка")</f>
        <v>Обложка</v>
      </c>
      <c r="V396" s="24" t="str">
        <f>HYPERLINK("https://znanium.ru/catalog/product/2215299", "Ознакомиться")</f>
        <v>Ознакомиться</v>
      </c>
      <c r="W396" s="8" t="s">
        <v>538</v>
      </c>
      <c r="X396" s="6"/>
      <c r="Y396" s="6"/>
      <c r="Z396" s="6" t="s">
        <v>207</v>
      </c>
      <c r="AA396" s="6" t="s">
        <v>129</v>
      </c>
      <c r="AB396" s="8"/>
    </row>
    <row r="397" spans="1:28" s="4" customFormat="1" ht="51.95" customHeight="1">
      <c r="A397" s="5">
        <v>0</v>
      </c>
      <c r="B397" s="6" t="s">
        <v>2728</v>
      </c>
      <c r="C397" s="7">
        <v>1784</v>
      </c>
      <c r="D397" s="8" t="s">
        <v>2729</v>
      </c>
      <c r="E397" s="8" t="s">
        <v>2730</v>
      </c>
      <c r="F397" s="8" t="s">
        <v>2724</v>
      </c>
      <c r="G397" s="6" t="s">
        <v>90</v>
      </c>
      <c r="H397" s="6" t="s">
        <v>54</v>
      </c>
      <c r="I397" s="8" t="s">
        <v>40</v>
      </c>
      <c r="J397" s="9">
        <v>1</v>
      </c>
      <c r="K397" s="9">
        <v>324</v>
      </c>
      <c r="L397" s="9">
        <v>2026</v>
      </c>
      <c r="M397" s="8" t="s">
        <v>2731</v>
      </c>
      <c r="N397" s="8" t="s">
        <v>42</v>
      </c>
      <c r="O397" s="8" t="s">
        <v>169</v>
      </c>
      <c r="P397" s="6" t="s">
        <v>58</v>
      </c>
      <c r="Q397" s="8" t="s">
        <v>45</v>
      </c>
      <c r="R397" s="10" t="s">
        <v>2732</v>
      </c>
      <c r="S397" s="11" t="s">
        <v>2733</v>
      </c>
      <c r="T397" s="6"/>
      <c r="U397" s="24" t="str">
        <f>HYPERLINK("https://media.infra-m.ru/2226/2226490/cover/2226490.jpg", "Обложка")</f>
        <v>Обложка</v>
      </c>
      <c r="V397" s="24" t="str">
        <f>HYPERLINK("https://znanium.ru/catalog/product/2079611", "Ознакомиться")</f>
        <v>Ознакомиться</v>
      </c>
      <c r="W397" s="8" t="s">
        <v>538</v>
      </c>
      <c r="X397" s="6"/>
      <c r="Y397" s="6"/>
      <c r="Z397" s="6" t="s">
        <v>207</v>
      </c>
      <c r="AA397" s="6" t="s">
        <v>740</v>
      </c>
      <c r="AB397" s="8"/>
    </row>
    <row r="398" spans="1:28" s="4" customFormat="1" ht="51.95" customHeight="1">
      <c r="A398" s="5">
        <v>0</v>
      </c>
      <c r="B398" s="6" t="s">
        <v>2734</v>
      </c>
      <c r="C398" s="7">
        <v>1370</v>
      </c>
      <c r="D398" s="8" t="s">
        <v>2735</v>
      </c>
      <c r="E398" s="8" t="s">
        <v>2736</v>
      </c>
      <c r="F398" s="8" t="s">
        <v>2737</v>
      </c>
      <c r="G398" s="6" t="s">
        <v>90</v>
      </c>
      <c r="H398" s="6" t="s">
        <v>54</v>
      </c>
      <c r="I398" s="8" t="s">
        <v>40</v>
      </c>
      <c r="J398" s="9">
        <v>1</v>
      </c>
      <c r="K398" s="9">
        <v>274</v>
      </c>
      <c r="L398" s="9">
        <v>2025</v>
      </c>
      <c r="M398" s="8" t="s">
        <v>2738</v>
      </c>
      <c r="N398" s="8" t="s">
        <v>42</v>
      </c>
      <c r="O398" s="8" t="s">
        <v>169</v>
      </c>
      <c r="P398" s="6" t="s">
        <v>58</v>
      </c>
      <c r="Q398" s="8" t="s">
        <v>45</v>
      </c>
      <c r="R398" s="10" t="s">
        <v>2739</v>
      </c>
      <c r="S398" s="11" t="s">
        <v>2740</v>
      </c>
      <c r="T398" s="6"/>
      <c r="U398" s="24" t="str">
        <f>HYPERLINK("https://media.infra-m.ru/2156/2156992/cover/2156992.jpg", "Обложка")</f>
        <v>Обложка</v>
      </c>
      <c r="V398" s="24" t="str">
        <f>HYPERLINK("https://znanium.ru/catalog/product/2156992", "Ознакомиться")</f>
        <v>Ознакомиться</v>
      </c>
      <c r="W398" s="8" t="s">
        <v>538</v>
      </c>
      <c r="X398" s="6"/>
      <c r="Y398" s="6"/>
      <c r="Z398" s="6" t="s">
        <v>48</v>
      </c>
      <c r="AA398" s="6" t="s">
        <v>740</v>
      </c>
      <c r="AB398" s="8"/>
    </row>
    <row r="399" spans="1:28" s="4" customFormat="1" ht="51.95" customHeight="1">
      <c r="A399" s="5">
        <v>0</v>
      </c>
      <c r="B399" s="6" t="s">
        <v>2741</v>
      </c>
      <c r="C399" s="7">
        <v>1470</v>
      </c>
      <c r="D399" s="8" t="s">
        <v>2742</v>
      </c>
      <c r="E399" s="8" t="s">
        <v>2743</v>
      </c>
      <c r="F399" s="8" t="s">
        <v>2744</v>
      </c>
      <c r="G399" s="6" t="s">
        <v>90</v>
      </c>
      <c r="H399" s="6" t="s">
        <v>299</v>
      </c>
      <c r="I399" s="8" t="s">
        <v>40</v>
      </c>
      <c r="J399" s="9">
        <v>1</v>
      </c>
      <c r="K399" s="9">
        <v>288</v>
      </c>
      <c r="L399" s="9">
        <v>2025</v>
      </c>
      <c r="M399" s="8" t="s">
        <v>2745</v>
      </c>
      <c r="N399" s="8" t="s">
        <v>42</v>
      </c>
      <c r="O399" s="8" t="s">
        <v>169</v>
      </c>
      <c r="P399" s="6" t="s">
        <v>44</v>
      </c>
      <c r="Q399" s="8" t="s">
        <v>45</v>
      </c>
      <c r="R399" s="10" t="s">
        <v>2746</v>
      </c>
      <c r="S399" s="11" t="s">
        <v>2747</v>
      </c>
      <c r="T399" s="6"/>
      <c r="U399" s="24" t="str">
        <f>HYPERLINK("https://media.infra-m.ru/2186/2186903/cover/2186903.jpg", "Обложка")</f>
        <v>Обложка</v>
      </c>
      <c r="V399" s="24" t="str">
        <f>HYPERLINK("https://znanium.ru/catalog/product/2186903", "Ознакомиться")</f>
        <v>Ознакомиться</v>
      </c>
      <c r="W399" s="8" t="s">
        <v>593</v>
      </c>
      <c r="X399" s="6"/>
      <c r="Y399" s="6"/>
      <c r="Z399" s="6" t="s">
        <v>48</v>
      </c>
      <c r="AA399" s="6" t="s">
        <v>129</v>
      </c>
      <c r="AB399" s="8"/>
    </row>
    <row r="400" spans="1:28" s="4" customFormat="1" ht="51.95" customHeight="1">
      <c r="A400" s="5">
        <v>0</v>
      </c>
      <c r="B400" s="6" t="s">
        <v>2748</v>
      </c>
      <c r="C400" s="7">
        <v>2040</v>
      </c>
      <c r="D400" s="8" t="s">
        <v>2749</v>
      </c>
      <c r="E400" s="8" t="s">
        <v>2750</v>
      </c>
      <c r="F400" s="8" t="s">
        <v>2751</v>
      </c>
      <c r="G400" s="6" t="s">
        <v>90</v>
      </c>
      <c r="H400" s="6" t="s">
        <v>54</v>
      </c>
      <c r="I400" s="8" t="s">
        <v>40</v>
      </c>
      <c r="J400" s="9">
        <v>1</v>
      </c>
      <c r="K400" s="9">
        <v>391</v>
      </c>
      <c r="L400" s="9">
        <v>2026</v>
      </c>
      <c r="M400" s="8" t="s">
        <v>2752</v>
      </c>
      <c r="N400" s="8" t="s">
        <v>42</v>
      </c>
      <c r="O400" s="8" t="s">
        <v>169</v>
      </c>
      <c r="P400" s="6" t="s">
        <v>44</v>
      </c>
      <c r="Q400" s="8" t="s">
        <v>45</v>
      </c>
      <c r="R400" s="10" t="s">
        <v>2753</v>
      </c>
      <c r="S400" s="11" t="s">
        <v>2754</v>
      </c>
      <c r="T400" s="6"/>
      <c r="U400" s="24" t="str">
        <f>HYPERLINK("https://media.infra-m.ru/2220/2220962/cover/2220962.jpg", "Обложка")</f>
        <v>Обложка</v>
      </c>
      <c r="V400" s="24" t="str">
        <f>HYPERLINK("https://znanium.ru/catalog/product/2220962", "Ознакомиться")</f>
        <v>Ознакомиться</v>
      </c>
      <c r="W400" s="8" t="s">
        <v>2755</v>
      </c>
      <c r="X400" s="6"/>
      <c r="Y400" s="6"/>
      <c r="Z400" s="6"/>
      <c r="AA400" s="6" t="s">
        <v>563</v>
      </c>
      <c r="AB400" s="8"/>
    </row>
    <row r="401" spans="1:28" s="4" customFormat="1" ht="51.95" customHeight="1">
      <c r="A401" s="5">
        <v>0</v>
      </c>
      <c r="B401" s="6" t="s">
        <v>2756</v>
      </c>
      <c r="C401" s="7">
        <v>1390</v>
      </c>
      <c r="D401" s="8" t="s">
        <v>2757</v>
      </c>
      <c r="E401" s="8" t="s">
        <v>2758</v>
      </c>
      <c r="F401" s="8" t="s">
        <v>2759</v>
      </c>
      <c r="G401" s="6" t="s">
        <v>90</v>
      </c>
      <c r="H401" s="6" t="s">
        <v>299</v>
      </c>
      <c r="I401" s="8" t="s">
        <v>40</v>
      </c>
      <c r="J401" s="9">
        <v>1</v>
      </c>
      <c r="K401" s="9">
        <v>271</v>
      </c>
      <c r="L401" s="9">
        <v>2025</v>
      </c>
      <c r="M401" s="8" t="s">
        <v>2760</v>
      </c>
      <c r="N401" s="8" t="s">
        <v>42</v>
      </c>
      <c r="O401" s="8" t="s">
        <v>169</v>
      </c>
      <c r="P401" s="6" t="s">
        <v>44</v>
      </c>
      <c r="Q401" s="8" t="s">
        <v>45</v>
      </c>
      <c r="R401" s="10" t="s">
        <v>2761</v>
      </c>
      <c r="S401" s="11" t="s">
        <v>2762</v>
      </c>
      <c r="T401" s="6"/>
      <c r="U401" s="24" t="str">
        <f>HYPERLINK("https://media.infra-m.ru/2179/2179095/cover/2179095.jpg", "Обложка")</f>
        <v>Обложка</v>
      </c>
      <c r="V401" s="24" t="str">
        <f>HYPERLINK("https://znanium.ru/catalog/product/2179095", "Ознакомиться")</f>
        <v>Ознакомиться</v>
      </c>
      <c r="W401" s="8" t="s">
        <v>593</v>
      </c>
      <c r="X401" s="6"/>
      <c r="Y401" s="6"/>
      <c r="Z401" s="6" t="s">
        <v>207</v>
      </c>
      <c r="AA401" s="6" t="s">
        <v>129</v>
      </c>
      <c r="AB401" s="8"/>
    </row>
    <row r="402" spans="1:28" s="4" customFormat="1" ht="51.95" customHeight="1">
      <c r="A402" s="5">
        <v>0</v>
      </c>
      <c r="B402" s="6" t="s">
        <v>2763</v>
      </c>
      <c r="C402" s="7">
        <v>1220</v>
      </c>
      <c r="D402" s="8" t="s">
        <v>2764</v>
      </c>
      <c r="E402" s="8" t="s">
        <v>2765</v>
      </c>
      <c r="F402" s="8" t="s">
        <v>2766</v>
      </c>
      <c r="G402" s="6" t="s">
        <v>90</v>
      </c>
      <c r="H402" s="6" t="s">
        <v>54</v>
      </c>
      <c r="I402" s="8" t="s">
        <v>40</v>
      </c>
      <c r="J402" s="9">
        <v>1</v>
      </c>
      <c r="K402" s="9">
        <v>272</v>
      </c>
      <c r="L402" s="9">
        <v>2023</v>
      </c>
      <c r="M402" s="8" t="s">
        <v>2767</v>
      </c>
      <c r="N402" s="8" t="s">
        <v>42</v>
      </c>
      <c r="O402" s="8" t="s">
        <v>169</v>
      </c>
      <c r="P402" s="6" t="s">
        <v>2768</v>
      </c>
      <c r="Q402" s="8" t="s">
        <v>45</v>
      </c>
      <c r="R402" s="10" t="s">
        <v>2769</v>
      </c>
      <c r="S402" s="11" t="s">
        <v>2747</v>
      </c>
      <c r="T402" s="6"/>
      <c r="U402" s="24" t="str">
        <f>HYPERLINK("https://media.infra-m.ru/2021/2021424/cover/2021424.jpg", "Обложка")</f>
        <v>Обложка</v>
      </c>
      <c r="V402" s="24" t="str">
        <f>HYPERLINK("https://znanium.ru/catalog/product/2021424", "Ознакомиться")</f>
        <v>Ознакомиться</v>
      </c>
      <c r="W402" s="8" t="s">
        <v>850</v>
      </c>
      <c r="X402" s="6"/>
      <c r="Y402" s="6"/>
      <c r="Z402" s="6" t="s">
        <v>48</v>
      </c>
      <c r="AA402" s="6" t="s">
        <v>129</v>
      </c>
      <c r="AB402" s="8"/>
    </row>
    <row r="403" spans="1:28" s="4" customFormat="1" ht="51.95" customHeight="1">
      <c r="A403" s="5">
        <v>0</v>
      </c>
      <c r="B403" s="6" t="s">
        <v>2770</v>
      </c>
      <c r="C403" s="7">
        <v>1610</v>
      </c>
      <c r="D403" s="8" t="s">
        <v>2771</v>
      </c>
      <c r="E403" s="8" t="s">
        <v>2772</v>
      </c>
      <c r="F403" s="8" t="s">
        <v>2773</v>
      </c>
      <c r="G403" s="6" t="s">
        <v>90</v>
      </c>
      <c r="H403" s="6" t="s">
        <v>54</v>
      </c>
      <c r="I403" s="8" t="s">
        <v>40</v>
      </c>
      <c r="J403" s="9">
        <v>1</v>
      </c>
      <c r="K403" s="9">
        <v>304</v>
      </c>
      <c r="L403" s="9">
        <v>2025</v>
      </c>
      <c r="M403" s="8" t="s">
        <v>2774</v>
      </c>
      <c r="N403" s="8" t="s">
        <v>42</v>
      </c>
      <c r="O403" s="8" t="s">
        <v>169</v>
      </c>
      <c r="P403" s="6" t="s">
        <v>58</v>
      </c>
      <c r="Q403" s="8" t="s">
        <v>45</v>
      </c>
      <c r="R403" s="10" t="s">
        <v>2775</v>
      </c>
      <c r="S403" s="11" t="s">
        <v>2776</v>
      </c>
      <c r="T403" s="6"/>
      <c r="U403" s="24" t="str">
        <f>HYPERLINK("https://media.infra-m.ru/2208/2208224/cover/2208224.jpg", "Обложка")</f>
        <v>Обложка</v>
      </c>
      <c r="V403" s="24" t="str">
        <f>HYPERLINK("https://znanium.ru/catalog/product/2208224", "Ознакомиться")</f>
        <v>Ознакомиться</v>
      </c>
      <c r="W403" s="8" t="s">
        <v>608</v>
      </c>
      <c r="X403" s="6"/>
      <c r="Y403" s="6" t="s">
        <v>30</v>
      </c>
      <c r="Z403" s="6" t="s">
        <v>48</v>
      </c>
      <c r="AA403" s="6" t="s">
        <v>111</v>
      </c>
      <c r="AB403" s="8" t="s">
        <v>860</v>
      </c>
    </row>
    <row r="404" spans="1:28" s="4" customFormat="1" ht="51.95" customHeight="1">
      <c r="A404" s="5">
        <v>0</v>
      </c>
      <c r="B404" s="6" t="s">
        <v>2777</v>
      </c>
      <c r="C404" s="7">
        <v>2694</v>
      </c>
      <c r="D404" s="8" t="s">
        <v>2778</v>
      </c>
      <c r="E404" s="8" t="s">
        <v>2779</v>
      </c>
      <c r="F404" s="8" t="s">
        <v>2780</v>
      </c>
      <c r="G404" s="6" t="s">
        <v>38</v>
      </c>
      <c r="H404" s="6" t="s">
        <v>2781</v>
      </c>
      <c r="I404" s="8" t="s">
        <v>40</v>
      </c>
      <c r="J404" s="9">
        <v>1</v>
      </c>
      <c r="K404" s="9">
        <v>687</v>
      </c>
      <c r="L404" s="9">
        <v>2026</v>
      </c>
      <c r="M404" s="8" t="s">
        <v>2782</v>
      </c>
      <c r="N404" s="8" t="s">
        <v>56</v>
      </c>
      <c r="O404" s="8" t="s">
        <v>807</v>
      </c>
      <c r="P404" s="6" t="s">
        <v>44</v>
      </c>
      <c r="Q404" s="8" t="s">
        <v>45</v>
      </c>
      <c r="R404" s="10" t="s">
        <v>2783</v>
      </c>
      <c r="S404" s="11" t="s">
        <v>2784</v>
      </c>
      <c r="T404" s="6"/>
      <c r="U404" s="24" t="str">
        <f>HYPERLINK("https://media.infra-m.ru/2224/2224133/cover/2224133.jpg", "Обложка")</f>
        <v>Обложка</v>
      </c>
      <c r="V404" s="24" t="str">
        <f>HYPERLINK("https://znanium.ru/catalog/product/1069042", "Ознакомиться")</f>
        <v>Ознакомиться</v>
      </c>
      <c r="W404" s="8" t="s">
        <v>2785</v>
      </c>
      <c r="X404" s="6"/>
      <c r="Y404" s="6"/>
      <c r="Z404" s="6"/>
      <c r="AA404" s="6" t="s">
        <v>835</v>
      </c>
      <c r="AB404" s="8"/>
    </row>
    <row r="405" spans="1:28" s="4" customFormat="1" ht="51.95" customHeight="1">
      <c r="A405" s="5">
        <v>0</v>
      </c>
      <c r="B405" s="6" t="s">
        <v>2786</v>
      </c>
      <c r="C405" s="7">
        <v>2504</v>
      </c>
      <c r="D405" s="8" t="s">
        <v>2787</v>
      </c>
      <c r="E405" s="8" t="s">
        <v>2788</v>
      </c>
      <c r="F405" s="8" t="s">
        <v>2789</v>
      </c>
      <c r="G405" s="6" t="s">
        <v>38</v>
      </c>
      <c r="H405" s="6" t="s">
        <v>54</v>
      </c>
      <c r="I405" s="8" t="s">
        <v>40</v>
      </c>
      <c r="J405" s="9">
        <v>1</v>
      </c>
      <c r="K405" s="9">
        <v>480</v>
      </c>
      <c r="L405" s="9">
        <v>2026</v>
      </c>
      <c r="M405" s="8" t="s">
        <v>2790</v>
      </c>
      <c r="N405" s="8" t="s">
        <v>42</v>
      </c>
      <c r="O405" s="8" t="s">
        <v>169</v>
      </c>
      <c r="P405" s="6" t="s">
        <v>44</v>
      </c>
      <c r="Q405" s="8" t="s">
        <v>45</v>
      </c>
      <c r="R405" s="10" t="s">
        <v>2791</v>
      </c>
      <c r="S405" s="11" t="s">
        <v>2792</v>
      </c>
      <c r="T405" s="6"/>
      <c r="U405" s="24" t="str">
        <f>HYPERLINK("https://media.infra-m.ru/2213/2213288/cover/2213288.jpg", "Обложка")</f>
        <v>Обложка</v>
      </c>
      <c r="V405" s="24" t="str">
        <f>HYPERLINK("https://znanium.ru/catalog/product/2170338", "Ознакомиться")</f>
        <v>Ознакомиться</v>
      </c>
      <c r="W405" s="8" t="s">
        <v>2309</v>
      </c>
      <c r="X405" s="6"/>
      <c r="Y405" s="6"/>
      <c r="Z405" s="6" t="s">
        <v>48</v>
      </c>
      <c r="AA405" s="6" t="s">
        <v>129</v>
      </c>
      <c r="AB405" s="8"/>
    </row>
    <row r="406" spans="1:28" s="4" customFormat="1" ht="51.95" customHeight="1">
      <c r="A406" s="5">
        <v>0</v>
      </c>
      <c r="B406" s="6" t="s">
        <v>2793</v>
      </c>
      <c r="C406" s="13">
        <v>754</v>
      </c>
      <c r="D406" s="8" t="s">
        <v>2794</v>
      </c>
      <c r="E406" s="8" t="s">
        <v>2795</v>
      </c>
      <c r="F406" s="8" t="s">
        <v>2796</v>
      </c>
      <c r="G406" s="6" t="s">
        <v>90</v>
      </c>
      <c r="H406" s="6" t="s">
        <v>54</v>
      </c>
      <c r="I406" s="8" t="s">
        <v>40</v>
      </c>
      <c r="J406" s="9">
        <v>1</v>
      </c>
      <c r="K406" s="9">
        <v>146</v>
      </c>
      <c r="L406" s="9">
        <v>2025</v>
      </c>
      <c r="M406" s="8" t="s">
        <v>2797</v>
      </c>
      <c r="N406" s="8" t="s">
        <v>42</v>
      </c>
      <c r="O406" s="8" t="s">
        <v>243</v>
      </c>
      <c r="P406" s="6" t="s">
        <v>44</v>
      </c>
      <c r="Q406" s="8" t="s">
        <v>45</v>
      </c>
      <c r="R406" s="10" t="s">
        <v>2798</v>
      </c>
      <c r="S406" s="11" t="s">
        <v>1857</v>
      </c>
      <c r="T406" s="6"/>
      <c r="U406" s="24" t="str">
        <f>HYPERLINK("https://media.infra-m.ru/2205/2205737/cover/2205737.jpg", "Обложка")</f>
        <v>Обложка</v>
      </c>
      <c r="V406" s="24" t="str">
        <f>HYPERLINK("https://znanium.ru/catalog/product/2021425", "Ознакомиться")</f>
        <v>Ознакомиться</v>
      </c>
      <c r="W406" s="8" t="s">
        <v>199</v>
      </c>
      <c r="X406" s="6"/>
      <c r="Y406" s="6"/>
      <c r="Z406" s="6" t="s">
        <v>48</v>
      </c>
      <c r="AA406" s="6" t="s">
        <v>111</v>
      </c>
      <c r="AB406" s="8"/>
    </row>
    <row r="407" spans="1:28" s="4" customFormat="1" ht="51.95" customHeight="1">
      <c r="A407" s="5">
        <v>0</v>
      </c>
      <c r="B407" s="6" t="s">
        <v>2799</v>
      </c>
      <c r="C407" s="13">
        <v>890</v>
      </c>
      <c r="D407" s="8" t="s">
        <v>2800</v>
      </c>
      <c r="E407" s="8" t="s">
        <v>2801</v>
      </c>
      <c r="F407" s="8" t="s">
        <v>2802</v>
      </c>
      <c r="G407" s="6" t="s">
        <v>90</v>
      </c>
      <c r="H407" s="6" t="s">
        <v>54</v>
      </c>
      <c r="I407" s="8" t="s">
        <v>40</v>
      </c>
      <c r="J407" s="9">
        <v>1</v>
      </c>
      <c r="K407" s="9">
        <v>159</v>
      </c>
      <c r="L407" s="9">
        <v>2026</v>
      </c>
      <c r="M407" s="8" t="s">
        <v>2803</v>
      </c>
      <c r="N407" s="8" t="s">
        <v>42</v>
      </c>
      <c r="O407" s="8" t="s">
        <v>187</v>
      </c>
      <c r="P407" s="6" t="s">
        <v>58</v>
      </c>
      <c r="Q407" s="8" t="s">
        <v>45</v>
      </c>
      <c r="R407" s="10" t="s">
        <v>2804</v>
      </c>
      <c r="S407" s="11" t="s">
        <v>2805</v>
      </c>
      <c r="T407" s="6"/>
      <c r="U407" s="24" t="str">
        <f>HYPERLINK("https://media.infra-m.ru/2215/2215366/cover/2215366.jpg", "Обложка")</f>
        <v>Обложка</v>
      </c>
      <c r="V407" s="24" t="str">
        <f>HYPERLINK("https://znanium.ru/catalog/product/2215366", "Ознакомиться")</f>
        <v>Ознакомиться</v>
      </c>
      <c r="W407" s="8" t="s">
        <v>190</v>
      </c>
      <c r="X407" s="6"/>
      <c r="Y407" s="6" t="s">
        <v>30</v>
      </c>
      <c r="Z407" s="6"/>
      <c r="AA407" s="6" t="s">
        <v>2806</v>
      </c>
      <c r="AB407" s="8"/>
    </row>
    <row r="408" spans="1:28" s="4" customFormat="1" ht="51.95" customHeight="1">
      <c r="A408" s="5">
        <v>0</v>
      </c>
      <c r="B408" s="6" t="s">
        <v>2807</v>
      </c>
      <c r="C408" s="7">
        <v>1490</v>
      </c>
      <c r="D408" s="8" t="s">
        <v>2808</v>
      </c>
      <c r="E408" s="8" t="s">
        <v>2809</v>
      </c>
      <c r="F408" s="8" t="s">
        <v>2810</v>
      </c>
      <c r="G408" s="6" t="s">
        <v>90</v>
      </c>
      <c r="H408" s="6" t="s">
        <v>299</v>
      </c>
      <c r="I408" s="8" t="s">
        <v>40</v>
      </c>
      <c r="J408" s="9">
        <v>1</v>
      </c>
      <c r="K408" s="9">
        <v>287</v>
      </c>
      <c r="L408" s="9">
        <v>2025</v>
      </c>
      <c r="M408" s="8" t="s">
        <v>2811</v>
      </c>
      <c r="N408" s="8" t="s">
        <v>42</v>
      </c>
      <c r="O408" s="8" t="s">
        <v>169</v>
      </c>
      <c r="P408" s="6" t="s">
        <v>44</v>
      </c>
      <c r="Q408" s="8" t="s">
        <v>45</v>
      </c>
      <c r="R408" s="10" t="s">
        <v>2812</v>
      </c>
      <c r="S408" s="11" t="s">
        <v>2813</v>
      </c>
      <c r="T408" s="6"/>
      <c r="U408" s="24" t="str">
        <f>HYPERLINK("https://media.infra-m.ru/2196/2196507/cover/2196507.jpg", "Обложка")</f>
        <v>Обложка</v>
      </c>
      <c r="V408" s="24" t="str">
        <f>HYPERLINK("https://znanium.ru/catalog/product/2196507", "Ознакомиться")</f>
        <v>Ознакомиться</v>
      </c>
      <c r="W408" s="8" t="s">
        <v>850</v>
      </c>
      <c r="X408" s="6"/>
      <c r="Y408" s="6"/>
      <c r="Z408" s="6" t="s">
        <v>48</v>
      </c>
      <c r="AA408" s="6" t="s">
        <v>740</v>
      </c>
      <c r="AB408" s="8"/>
    </row>
    <row r="409" spans="1:28" s="4" customFormat="1" ht="51.95" customHeight="1">
      <c r="A409" s="5">
        <v>0</v>
      </c>
      <c r="B409" s="6" t="s">
        <v>2814</v>
      </c>
      <c r="C409" s="7">
        <v>1064</v>
      </c>
      <c r="D409" s="8" t="s">
        <v>2815</v>
      </c>
      <c r="E409" s="8" t="s">
        <v>2816</v>
      </c>
      <c r="F409" s="8" t="s">
        <v>2817</v>
      </c>
      <c r="G409" s="6" t="s">
        <v>90</v>
      </c>
      <c r="H409" s="6" t="s">
        <v>54</v>
      </c>
      <c r="I409" s="8" t="s">
        <v>40</v>
      </c>
      <c r="J409" s="9">
        <v>1</v>
      </c>
      <c r="K409" s="9">
        <v>199</v>
      </c>
      <c r="L409" s="9">
        <v>2026</v>
      </c>
      <c r="M409" s="8" t="s">
        <v>2818</v>
      </c>
      <c r="N409" s="8" t="s">
        <v>125</v>
      </c>
      <c r="O409" s="8" t="s">
        <v>1630</v>
      </c>
      <c r="P409" s="6" t="s">
        <v>44</v>
      </c>
      <c r="Q409" s="8" t="s">
        <v>45</v>
      </c>
      <c r="R409" s="10" t="s">
        <v>2819</v>
      </c>
      <c r="S409" s="11" t="s">
        <v>2820</v>
      </c>
      <c r="T409" s="6"/>
      <c r="U409" s="24" t="str">
        <f>HYPERLINK("https://media.infra-m.ru/2217/2217994/cover/2217994.jpg", "Обложка")</f>
        <v>Обложка</v>
      </c>
      <c r="V409" s="24" t="str">
        <f>HYPERLINK("https://znanium.ru/catalog/product/1986679", "Ознакомиться")</f>
        <v>Ознакомиться</v>
      </c>
      <c r="W409" s="8" t="s">
        <v>2821</v>
      </c>
      <c r="X409" s="6"/>
      <c r="Y409" s="6" t="s">
        <v>30</v>
      </c>
      <c r="Z409" s="6" t="s">
        <v>48</v>
      </c>
      <c r="AA409" s="6" t="s">
        <v>999</v>
      </c>
      <c r="AB409" s="8"/>
    </row>
    <row r="410" spans="1:28" s="4" customFormat="1" ht="51.95" customHeight="1">
      <c r="A410" s="5">
        <v>0</v>
      </c>
      <c r="B410" s="6" t="s">
        <v>2822</v>
      </c>
      <c r="C410" s="7">
        <v>1540</v>
      </c>
      <c r="D410" s="8" t="s">
        <v>2823</v>
      </c>
      <c r="E410" s="8" t="s">
        <v>2824</v>
      </c>
      <c r="F410" s="8" t="s">
        <v>2825</v>
      </c>
      <c r="G410" s="6" t="s">
        <v>90</v>
      </c>
      <c r="H410" s="6" t="s">
        <v>54</v>
      </c>
      <c r="I410" s="8" t="s">
        <v>40</v>
      </c>
      <c r="J410" s="9">
        <v>1</v>
      </c>
      <c r="K410" s="9">
        <v>301</v>
      </c>
      <c r="L410" s="9">
        <v>2025</v>
      </c>
      <c r="M410" s="8" t="s">
        <v>2826</v>
      </c>
      <c r="N410" s="8" t="s">
        <v>56</v>
      </c>
      <c r="O410" s="8" t="s">
        <v>343</v>
      </c>
      <c r="P410" s="6" t="s">
        <v>58</v>
      </c>
      <c r="Q410" s="8" t="s">
        <v>45</v>
      </c>
      <c r="R410" s="10" t="s">
        <v>2827</v>
      </c>
      <c r="S410" s="11"/>
      <c r="T410" s="6"/>
      <c r="U410" s="24" t="str">
        <f>HYPERLINK("https://media.infra-m.ru/2162/2162583/cover/2162583.jpg", "Обложка")</f>
        <v>Обложка</v>
      </c>
      <c r="V410" s="24" t="str">
        <f>HYPERLINK("https://znanium.ru/catalog/product/2162583", "Ознакомиться")</f>
        <v>Ознакомиться</v>
      </c>
      <c r="W410" s="8" t="s">
        <v>466</v>
      </c>
      <c r="X410" s="6" t="s">
        <v>2828</v>
      </c>
      <c r="Y410" s="6"/>
      <c r="Z410" s="6" t="s">
        <v>48</v>
      </c>
      <c r="AA410" s="6" t="s">
        <v>231</v>
      </c>
      <c r="AB410" s="8"/>
    </row>
    <row r="411" spans="1:28" s="4" customFormat="1" ht="42" customHeight="1">
      <c r="A411" s="5">
        <v>0</v>
      </c>
      <c r="B411" s="6" t="s">
        <v>2829</v>
      </c>
      <c r="C411" s="7">
        <v>1380</v>
      </c>
      <c r="D411" s="8" t="s">
        <v>2830</v>
      </c>
      <c r="E411" s="8" t="s">
        <v>2831</v>
      </c>
      <c r="F411" s="8" t="s">
        <v>2832</v>
      </c>
      <c r="G411" s="6" t="s">
        <v>38</v>
      </c>
      <c r="H411" s="6" t="s">
        <v>54</v>
      </c>
      <c r="I411" s="8" t="s">
        <v>40</v>
      </c>
      <c r="J411" s="9">
        <v>1</v>
      </c>
      <c r="K411" s="9">
        <v>254</v>
      </c>
      <c r="L411" s="9">
        <v>2025</v>
      </c>
      <c r="M411" s="8" t="s">
        <v>2833</v>
      </c>
      <c r="N411" s="8" t="s">
        <v>125</v>
      </c>
      <c r="O411" s="8" t="s">
        <v>1630</v>
      </c>
      <c r="P411" s="6" t="s">
        <v>44</v>
      </c>
      <c r="Q411" s="8" t="s">
        <v>45</v>
      </c>
      <c r="R411" s="10" t="s">
        <v>660</v>
      </c>
      <c r="S411" s="11"/>
      <c r="T411" s="6"/>
      <c r="U411" s="24" t="str">
        <f>HYPERLINK("https://media.infra-m.ru/2181/2181454/cover/2181454.jpg", "Обложка")</f>
        <v>Обложка</v>
      </c>
      <c r="V411" s="24" t="str">
        <f>HYPERLINK("https://znanium.ru/catalog/product/2181454", "Ознакомиться")</f>
        <v>Ознакомиться</v>
      </c>
      <c r="W411" s="8" t="s">
        <v>2834</v>
      </c>
      <c r="X411" s="6" t="s">
        <v>727</v>
      </c>
      <c r="Y411" s="6"/>
      <c r="Z411" s="6"/>
      <c r="AA411" s="6" t="s">
        <v>84</v>
      </c>
      <c r="AB411" s="8" t="s">
        <v>801</v>
      </c>
    </row>
    <row r="412" spans="1:28" s="4" customFormat="1" ht="51.95" customHeight="1">
      <c r="A412" s="5">
        <v>0</v>
      </c>
      <c r="B412" s="6" t="s">
        <v>2835</v>
      </c>
      <c r="C412" s="7">
        <v>1044</v>
      </c>
      <c r="D412" s="8" t="s">
        <v>2836</v>
      </c>
      <c r="E412" s="8" t="s">
        <v>2837</v>
      </c>
      <c r="F412" s="8" t="s">
        <v>2838</v>
      </c>
      <c r="G412" s="6" t="s">
        <v>90</v>
      </c>
      <c r="H412" s="6" t="s">
        <v>54</v>
      </c>
      <c r="I412" s="8" t="s">
        <v>2839</v>
      </c>
      <c r="J412" s="9">
        <v>1</v>
      </c>
      <c r="K412" s="9">
        <v>271</v>
      </c>
      <c r="L412" s="9">
        <v>2025</v>
      </c>
      <c r="M412" s="8" t="s">
        <v>2840</v>
      </c>
      <c r="N412" s="8" t="s">
        <v>125</v>
      </c>
      <c r="O412" s="8" t="s">
        <v>1380</v>
      </c>
      <c r="P412" s="6" t="s">
        <v>2841</v>
      </c>
      <c r="Q412" s="8" t="s">
        <v>1381</v>
      </c>
      <c r="R412" s="10" t="s">
        <v>2842</v>
      </c>
      <c r="S412" s="11" t="s">
        <v>2843</v>
      </c>
      <c r="T412" s="6"/>
      <c r="U412" s="24" t="str">
        <f>HYPERLINK("https://media.infra-m.ru/2205/2205517/cover/2205517.jpg", "Обложка")</f>
        <v>Обложка</v>
      </c>
      <c r="V412" s="24" t="str">
        <f>HYPERLINK("https://znanium.ru/catalog/product/2168889", "Ознакомиться")</f>
        <v>Ознакомиться</v>
      </c>
      <c r="W412" s="8"/>
      <c r="X412" s="6"/>
      <c r="Y412" s="6" t="s">
        <v>30</v>
      </c>
      <c r="Z412" s="6"/>
      <c r="AA412" s="6" t="s">
        <v>362</v>
      </c>
      <c r="AB412" s="8"/>
    </row>
    <row r="413" spans="1:28" s="4" customFormat="1" ht="51.95" customHeight="1">
      <c r="A413" s="5">
        <v>0</v>
      </c>
      <c r="B413" s="6" t="s">
        <v>2844</v>
      </c>
      <c r="C413" s="13">
        <v>599.9</v>
      </c>
      <c r="D413" s="8" t="s">
        <v>2845</v>
      </c>
      <c r="E413" s="8" t="s">
        <v>2846</v>
      </c>
      <c r="F413" s="8" t="s">
        <v>2838</v>
      </c>
      <c r="G413" s="6" t="s">
        <v>90</v>
      </c>
      <c r="H413" s="6" t="s">
        <v>54</v>
      </c>
      <c r="I413" s="8"/>
      <c r="J413" s="9">
        <v>1</v>
      </c>
      <c r="K413" s="9">
        <v>462</v>
      </c>
      <c r="L413" s="9">
        <v>2021</v>
      </c>
      <c r="M413" s="8" t="s">
        <v>2847</v>
      </c>
      <c r="N413" s="8" t="s">
        <v>125</v>
      </c>
      <c r="O413" s="8" t="s">
        <v>1380</v>
      </c>
      <c r="P413" s="6" t="s">
        <v>2841</v>
      </c>
      <c r="Q413" s="8" t="s">
        <v>1381</v>
      </c>
      <c r="R413" s="10" t="s">
        <v>2842</v>
      </c>
      <c r="S413" s="11" t="s">
        <v>2848</v>
      </c>
      <c r="T413" s="6"/>
      <c r="U413" s="24" t="str">
        <f>HYPERLINK("https://media.infra-m.ru/1142/1142541/cover/1142541.jpg", "Обложка")</f>
        <v>Обложка</v>
      </c>
      <c r="V413" s="24" t="str">
        <f>HYPERLINK("https://znanium.ru/catalog/product/2168889", "Ознакомиться")</f>
        <v>Ознакомиться</v>
      </c>
      <c r="W413" s="8"/>
      <c r="X413" s="6"/>
      <c r="Y413" s="6" t="s">
        <v>30</v>
      </c>
      <c r="Z413" s="6"/>
      <c r="AA413" s="6" t="s">
        <v>766</v>
      </c>
      <c r="AB413" s="8"/>
    </row>
    <row r="414" spans="1:28" s="4" customFormat="1" ht="42" customHeight="1">
      <c r="A414" s="5">
        <v>0</v>
      </c>
      <c r="B414" s="6" t="s">
        <v>2849</v>
      </c>
      <c r="C414" s="7">
        <v>1024.9000000000001</v>
      </c>
      <c r="D414" s="8" t="s">
        <v>2850</v>
      </c>
      <c r="E414" s="8" t="s">
        <v>2851</v>
      </c>
      <c r="F414" s="8" t="s">
        <v>2852</v>
      </c>
      <c r="G414" s="6" t="s">
        <v>38</v>
      </c>
      <c r="H414" s="6" t="s">
        <v>54</v>
      </c>
      <c r="I414" s="8" t="s">
        <v>40</v>
      </c>
      <c r="J414" s="9">
        <v>1</v>
      </c>
      <c r="K414" s="9">
        <v>352</v>
      </c>
      <c r="L414" s="9">
        <v>2018</v>
      </c>
      <c r="M414" s="8" t="s">
        <v>2853</v>
      </c>
      <c r="N414" s="8" t="s">
        <v>42</v>
      </c>
      <c r="O414" s="8" t="s">
        <v>319</v>
      </c>
      <c r="P414" s="6" t="s">
        <v>58</v>
      </c>
      <c r="Q414" s="8" t="s">
        <v>45</v>
      </c>
      <c r="R414" s="10" t="s">
        <v>2854</v>
      </c>
      <c r="S414" s="11"/>
      <c r="T414" s="6"/>
      <c r="U414" s="24" t="str">
        <f>HYPERLINK("https://media.infra-m.ru/0940/0940812/cover/940812.jpg", "Обложка")</f>
        <v>Обложка</v>
      </c>
      <c r="V414" s="24" t="str">
        <f>HYPERLINK("https://znanium.ru/catalog/product/2142821", "Ознакомиться")</f>
        <v>Ознакомиться</v>
      </c>
      <c r="W414" s="8" t="s">
        <v>293</v>
      </c>
      <c r="X414" s="6"/>
      <c r="Y414" s="6"/>
      <c r="Z414" s="6"/>
      <c r="AA414" s="6" t="s">
        <v>696</v>
      </c>
      <c r="AB414" s="8"/>
    </row>
    <row r="415" spans="1:28" s="4" customFormat="1" ht="51.95" customHeight="1">
      <c r="A415" s="5">
        <v>0</v>
      </c>
      <c r="B415" s="6" t="s">
        <v>2855</v>
      </c>
      <c r="C415" s="7">
        <v>1660</v>
      </c>
      <c r="D415" s="8" t="s">
        <v>2856</v>
      </c>
      <c r="E415" s="8" t="s">
        <v>2857</v>
      </c>
      <c r="F415" s="8" t="s">
        <v>2858</v>
      </c>
      <c r="G415" s="6" t="s">
        <v>90</v>
      </c>
      <c r="H415" s="6" t="s">
        <v>54</v>
      </c>
      <c r="I415" s="8" t="s">
        <v>40</v>
      </c>
      <c r="J415" s="9">
        <v>1</v>
      </c>
      <c r="K415" s="9">
        <v>352</v>
      </c>
      <c r="L415" s="9">
        <v>2024</v>
      </c>
      <c r="M415" s="8" t="s">
        <v>2853</v>
      </c>
      <c r="N415" s="8" t="s">
        <v>42</v>
      </c>
      <c r="O415" s="8" t="s">
        <v>319</v>
      </c>
      <c r="P415" s="6" t="s">
        <v>58</v>
      </c>
      <c r="Q415" s="8" t="s">
        <v>45</v>
      </c>
      <c r="R415" s="10" t="s">
        <v>2854</v>
      </c>
      <c r="S415" s="11" t="s">
        <v>2859</v>
      </c>
      <c r="T415" s="6"/>
      <c r="U415" s="24" t="str">
        <f>HYPERLINK("https://media.infra-m.ru/2142/2142821/cover/2142821.jpg", "Обложка")</f>
        <v>Обложка</v>
      </c>
      <c r="V415" s="24" t="str">
        <f>HYPERLINK("https://znanium.ru/catalog/product/2142821", "Ознакомиться")</f>
        <v>Ознакомиться</v>
      </c>
      <c r="W415" s="8" t="s">
        <v>293</v>
      </c>
      <c r="X415" s="6"/>
      <c r="Y415" s="6"/>
      <c r="Z415" s="6"/>
      <c r="AA415" s="6" t="s">
        <v>563</v>
      </c>
      <c r="AB415" s="8"/>
    </row>
    <row r="416" spans="1:28" s="4" customFormat="1" ht="42" customHeight="1">
      <c r="A416" s="5">
        <v>0</v>
      </c>
      <c r="B416" s="6" t="s">
        <v>2860</v>
      </c>
      <c r="C416" s="13">
        <v>890</v>
      </c>
      <c r="D416" s="8" t="s">
        <v>2861</v>
      </c>
      <c r="E416" s="8" t="s">
        <v>2862</v>
      </c>
      <c r="F416" s="8" t="s">
        <v>2863</v>
      </c>
      <c r="G416" s="6" t="s">
        <v>90</v>
      </c>
      <c r="H416" s="6" t="s">
        <v>54</v>
      </c>
      <c r="I416" s="8" t="s">
        <v>40</v>
      </c>
      <c r="J416" s="9">
        <v>1</v>
      </c>
      <c r="K416" s="9">
        <v>160</v>
      </c>
      <c r="L416" s="9">
        <v>2025</v>
      </c>
      <c r="M416" s="8" t="s">
        <v>2864</v>
      </c>
      <c r="N416" s="8" t="s">
        <v>125</v>
      </c>
      <c r="O416" s="8" t="s">
        <v>352</v>
      </c>
      <c r="P416" s="6" t="s">
        <v>44</v>
      </c>
      <c r="Q416" s="8" t="s">
        <v>45</v>
      </c>
      <c r="R416" s="10" t="s">
        <v>108</v>
      </c>
      <c r="S416" s="11"/>
      <c r="T416" s="6"/>
      <c r="U416" s="24" t="str">
        <f>HYPERLINK("https://media.infra-m.ru/2225/2225206/cover/2225206.jpg", "Обложка")</f>
        <v>Обложка</v>
      </c>
      <c r="V416" s="24" t="str">
        <f>HYPERLINK("https://znanium.ru/catalog/product/2152194", "Ознакомиться")</f>
        <v>Ознакомиться</v>
      </c>
      <c r="W416" s="8" t="s">
        <v>82</v>
      </c>
      <c r="X416" s="6"/>
      <c r="Y416" s="6"/>
      <c r="Z416" s="6" t="s">
        <v>207</v>
      </c>
      <c r="AA416" s="6" t="s">
        <v>84</v>
      </c>
      <c r="AB416" s="8" t="s">
        <v>2865</v>
      </c>
    </row>
    <row r="417" spans="1:28" s="4" customFormat="1" ht="51.95" customHeight="1">
      <c r="A417" s="5">
        <v>0</v>
      </c>
      <c r="B417" s="6" t="s">
        <v>2866</v>
      </c>
      <c r="C417" s="13">
        <v>700</v>
      </c>
      <c r="D417" s="8" t="s">
        <v>2867</v>
      </c>
      <c r="E417" s="8" t="s">
        <v>2868</v>
      </c>
      <c r="F417" s="8" t="s">
        <v>2869</v>
      </c>
      <c r="G417" s="6" t="s">
        <v>67</v>
      </c>
      <c r="H417" s="6" t="s">
        <v>54</v>
      </c>
      <c r="I417" s="8" t="s">
        <v>40</v>
      </c>
      <c r="J417" s="9">
        <v>1</v>
      </c>
      <c r="K417" s="9">
        <v>128</v>
      </c>
      <c r="L417" s="9">
        <v>2026</v>
      </c>
      <c r="M417" s="8" t="s">
        <v>2870</v>
      </c>
      <c r="N417" s="8" t="s">
        <v>1306</v>
      </c>
      <c r="O417" s="8" t="s">
        <v>1307</v>
      </c>
      <c r="P417" s="6" t="s">
        <v>1285</v>
      </c>
      <c r="Q417" s="8" t="s">
        <v>45</v>
      </c>
      <c r="R417" s="10" t="s">
        <v>1465</v>
      </c>
      <c r="S417" s="11" t="s">
        <v>345</v>
      </c>
      <c r="T417" s="6"/>
      <c r="U417" s="24" t="str">
        <f>HYPERLINK("https://media.infra-m.ru/2210/2210346/cover/2210346.jpg", "Обложка")</f>
        <v>Обложка</v>
      </c>
      <c r="V417" s="24" t="str">
        <f>HYPERLINK("https://znanium.ru/catalog/product/2210346", "Ознакомиться")</f>
        <v>Ознакомиться</v>
      </c>
      <c r="W417" s="8" t="s">
        <v>2092</v>
      </c>
      <c r="X417" s="6"/>
      <c r="Y417" s="6"/>
      <c r="Z417" s="6" t="s">
        <v>156</v>
      </c>
      <c r="AA417" s="6" t="s">
        <v>964</v>
      </c>
      <c r="AB417" s="8"/>
    </row>
    <row r="418" spans="1:28" s="4" customFormat="1" ht="51.95" customHeight="1">
      <c r="A418" s="5">
        <v>0</v>
      </c>
      <c r="B418" s="6" t="s">
        <v>2871</v>
      </c>
      <c r="C418" s="7">
        <v>1540</v>
      </c>
      <c r="D418" s="8" t="s">
        <v>2872</v>
      </c>
      <c r="E418" s="8" t="s">
        <v>2873</v>
      </c>
      <c r="F418" s="8" t="s">
        <v>2874</v>
      </c>
      <c r="G418" s="6" t="s">
        <v>90</v>
      </c>
      <c r="H418" s="6" t="s">
        <v>54</v>
      </c>
      <c r="I418" s="8" t="s">
        <v>40</v>
      </c>
      <c r="J418" s="9">
        <v>1</v>
      </c>
      <c r="K418" s="9">
        <v>308</v>
      </c>
      <c r="L418" s="9">
        <v>2025</v>
      </c>
      <c r="M418" s="8" t="s">
        <v>2875</v>
      </c>
      <c r="N418" s="8" t="s">
        <v>1306</v>
      </c>
      <c r="O418" s="8" t="s">
        <v>1307</v>
      </c>
      <c r="P418" s="6" t="s">
        <v>44</v>
      </c>
      <c r="Q418" s="8" t="s">
        <v>45</v>
      </c>
      <c r="R418" s="10" t="s">
        <v>2876</v>
      </c>
      <c r="S418" s="11" t="s">
        <v>2877</v>
      </c>
      <c r="T418" s="6"/>
      <c r="U418" s="24" t="str">
        <f>HYPERLINK("https://media.infra-m.ru/2168/2168119/cover/2168119.jpg", "Обложка")</f>
        <v>Обложка</v>
      </c>
      <c r="V418" s="12"/>
      <c r="W418" s="8" t="s">
        <v>2878</v>
      </c>
      <c r="X418" s="6"/>
      <c r="Y418" s="6"/>
      <c r="Z418" s="6" t="s">
        <v>207</v>
      </c>
      <c r="AA418" s="6" t="s">
        <v>500</v>
      </c>
      <c r="AB418" s="8"/>
    </row>
    <row r="419" spans="1:28" s="4" customFormat="1" ht="51.95" customHeight="1">
      <c r="A419" s="5">
        <v>0</v>
      </c>
      <c r="B419" s="6" t="s">
        <v>2879</v>
      </c>
      <c r="C419" s="7">
        <v>2470</v>
      </c>
      <c r="D419" s="8" t="s">
        <v>2880</v>
      </c>
      <c r="E419" s="8" t="s">
        <v>2881</v>
      </c>
      <c r="F419" s="8" t="s">
        <v>2882</v>
      </c>
      <c r="G419" s="6" t="s">
        <v>38</v>
      </c>
      <c r="H419" s="6" t="s">
        <v>54</v>
      </c>
      <c r="I419" s="8" t="s">
        <v>40</v>
      </c>
      <c r="J419" s="9">
        <v>1</v>
      </c>
      <c r="K419" s="9">
        <v>449</v>
      </c>
      <c r="L419" s="9">
        <v>2026</v>
      </c>
      <c r="M419" s="8" t="s">
        <v>2883</v>
      </c>
      <c r="N419" s="8" t="s">
        <v>125</v>
      </c>
      <c r="O419" s="8" t="s">
        <v>352</v>
      </c>
      <c r="P419" s="6" t="s">
        <v>58</v>
      </c>
      <c r="Q419" s="8" t="s">
        <v>45</v>
      </c>
      <c r="R419" s="10" t="s">
        <v>2884</v>
      </c>
      <c r="S419" s="11" t="s">
        <v>2885</v>
      </c>
      <c r="T419" s="6" t="s">
        <v>118</v>
      </c>
      <c r="U419" s="24" t="str">
        <f>HYPERLINK("https://media.infra-m.ru/2225/2225305/cover/2225305.jpg", "Обложка")</f>
        <v>Обложка</v>
      </c>
      <c r="V419" s="24" t="str">
        <f>HYPERLINK("https://znanium.ru/catalog/product/2225305", "Ознакомиться")</f>
        <v>Ознакомиться</v>
      </c>
      <c r="W419" s="8" t="s">
        <v>2886</v>
      </c>
      <c r="X419" s="6"/>
      <c r="Y419" s="6"/>
      <c r="Z419" s="6" t="s">
        <v>48</v>
      </c>
      <c r="AA419" s="6" t="s">
        <v>2887</v>
      </c>
      <c r="AB419" s="8"/>
    </row>
    <row r="420" spans="1:28" s="4" customFormat="1" ht="51.95" customHeight="1">
      <c r="A420" s="5">
        <v>0</v>
      </c>
      <c r="B420" s="6" t="s">
        <v>2888</v>
      </c>
      <c r="C420" s="7">
        <v>2180</v>
      </c>
      <c r="D420" s="8" t="s">
        <v>2889</v>
      </c>
      <c r="E420" s="8" t="s">
        <v>2890</v>
      </c>
      <c r="F420" s="8" t="s">
        <v>2891</v>
      </c>
      <c r="G420" s="6" t="s">
        <v>38</v>
      </c>
      <c r="H420" s="6" t="s">
        <v>359</v>
      </c>
      <c r="I420" s="8" t="s">
        <v>40</v>
      </c>
      <c r="J420" s="9">
        <v>1</v>
      </c>
      <c r="K420" s="9">
        <v>464</v>
      </c>
      <c r="L420" s="9">
        <v>2024</v>
      </c>
      <c r="M420" s="8" t="s">
        <v>2892</v>
      </c>
      <c r="N420" s="8" t="s">
        <v>125</v>
      </c>
      <c r="O420" s="8" t="s">
        <v>352</v>
      </c>
      <c r="P420" s="6" t="s">
        <v>58</v>
      </c>
      <c r="Q420" s="8" t="s">
        <v>45</v>
      </c>
      <c r="R420" s="10" t="s">
        <v>2884</v>
      </c>
      <c r="S420" s="11" t="s">
        <v>2893</v>
      </c>
      <c r="T420" s="6"/>
      <c r="U420" s="24" t="str">
        <f>HYPERLINK("https://media.infra-m.ru/2132/2132499/cover/2132499.jpg", "Обложка")</f>
        <v>Обложка</v>
      </c>
      <c r="V420" s="24" t="str">
        <f>HYPERLINK("https://znanium.ru/catalog/product/2185765", "Ознакомиться")</f>
        <v>Ознакомиться</v>
      </c>
      <c r="W420" s="8" t="s">
        <v>361</v>
      </c>
      <c r="X420" s="6"/>
      <c r="Y420" s="6"/>
      <c r="Z420" s="6" t="s">
        <v>48</v>
      </c>
      <c r="AA420" s="6" t="s">
        <v>129</v>
      </c>
      <c r="AB420" s="8"/>
    </row>
    <row r="421" spans="1:28" s="4" customFormat="1" ht="51.95" customHeight="1">
      <c r="A421" s="5">
        <v>0</v>
      </c>
      <c r="B421" s="6" t="s">
        <v>2894</v>
      </c>
      <c r="C421" s="7">
        <v>2830</v>
      </c>
      <c r="D421" s="8" t="s">
        <v>2895</v>
      </c>
      <c r="E421" s="8" t="s">
        <v>2896</v>
      </c>
      <c r="F421" s="8" t="s">
        <v>2891</v>
      </c>
      <c r="G421" s="6" t="s">
        <v>38</v>
      </c>
      <c r="H421" s="6" t="s">
        <v>359</v>
      </c>
      <c r="I421" s="8" t="s">
        <v>40</v>
      </c>
      <c r="J421" s="9">
        <v>1</v>
      </c>
      <c r="K421" s="9">
        <v>608</v>
      </c>
      <c r="L421" s="9">
        <v>2025</v>
      </c>
      <c r="M421" s="8" t="s">
        <v>2897</v>
      </c>
      <c r="N421" s="8" t="s">
        <v>125</v>
      </c>
      <c r="O421" s="8" t="s">
        <v>352</v>
      </c>
      <c r="P421" s="6" t="s">
        <v>58</v>
      </c>
      <c r="Q421" s="8" t="s">
        <v>45</v>
      </c>
      <c r="R421" s="10" t="s">
        <v>2884</v>
      </c>
      <c r="S421" s="11" t="s">
        <v>2893</v>
      </c>
      <c r="T421" s="6"/>
      <c r="U421" s="24" t="str">
        <f>HYPERLINK("https://media.infra-m.ru/2185/2185765/cover/2185765.jpg", "Обложка")</f>
        <v>Обложка</v>
      </c>
      <c r="V421" s="24" t="str">
        <f>HYPERLINK("https://znanium.ru/catalog/product/2185765", "Ознакомиться")</f>
        <v>Ознакомиться</v>
      </c>
      <c r="W421" s="8" t="s">
        <v>361</v>
      </c>
      <c r="X421" s="6" t="s">
        <v>727</v>
      </c>
      <c r="Y421" s="6"/>
      <c r="Z421" s="6" t="s">
        <v>48</v>
      </c>
      <c r="AA421" s="6" t="s">
        <v>231</v>
      </c>
      <c r="AB421" s="8"/>
    </row>
    <row r="422" spans="1:28" s="4" customFormat="1" ht="42" customHeight="1">
      <c r="A422" s="5">
        <v>0</v>
      </c>
      <c r="B422" s="6" t="s">
        <v>2898</v>
      </c>
      <c r="C422" s="13">
        <v>760</v>
      </c>
      <c r="D422" s="8" t="s">
        <v>2899</v>
      </c>
      <c r="E422" s="8" t="s">
        <v>2900</v>
      </c>
      <c r="F422" s="8" t="s">
        <v>2901</v>
      </c>
      <c r="G422" s="6" t="s">
        <v>90</v>
      </c>
      <c r="H422" s="6" t="s">
        <v>359</v>
      </c>
      <c r="I422" s="8"/>
      <c r="J422" s="9">
        <v>1</v>
      </c>
      <c r="K422" s="9">
        <v>128</v>
      </c>
      <c r="L422" s="9">
        <v>2026</v>
      </c>
      <c r="M422" s="8" t="s">
        <v>2902</v>
      </c>
      <c r="N422" s="8" t="s">
        <v>125</v>
      </c>
      <c r="O422" s="8" t="s">
        <v>352</v>
      </c>
      <c r="P422" s="6" t="s">
        <v>44</v>
      </c>
      <c r="Q422" s="8" t="s">
        <v>45</v>
      </c>
      <c r="R422" s="10" t="s">
        <v>108</v>
      </c>
      <c r="S422" s="11"/>
      <c r="T422" s="6"/>
      <c r="U422" s="24" t="str">
        <f>HYPERLINK("https://media.infra-m.ru/2225/2225220/cover/2225220.jpg", "Обложка")</f>
        <v>Обложка</v>
      </c>
      <c r="V422" s="24" t="str">
        <f>HYPERLINK("https://znanium.ru/catalog/product/1390783", "Ознакомиться")</f>
        <v>Ознакомиться</v>
      </c>
      <c r="W422" s="8" t="s">
        <v>361</v>
      </c>
      <c r="X422" s="6"/>
      <c r="Y422" s="6"/>
      <c r="Z422" s="6" t="s">
        <v>48</v>
      </c>
      <c r="AA422" s="6" t="s">
        <v>223</v>
      </c>
      <c r="AB422" s="8"/>
    </row>
    <row r="423" spans="1:28" s="4" customFormat="1" ht="42" customHeight="1">
      <c r="A423" s="5">
        <v>0</v>
      </c>
      <c r="B423" s="6" t="s">
        <v>2903</v>
      </c>
      <c r="C423" s="7">
        <v>1060</v>
      </c>
      <c r="D423" s="8" t="s">
        <v>2904</v>
      </c>
      <c r="E423" s="8" t="s">
        <v>2905</v>
      </c>
      <c r="F423" s="8" t="s">
        <v>2906</v>
      </c>
      <c r="G423" s="6" t="s">
        <v>38</v>
      </c>
      <c r="H423" s="6" t="s">
        <v>54</v>
      </c>
      <c r="I423" s="8" t="s">
        <v>40</v>
      </c>
      <c r="J423" s="9">
        <v>1</v>
      </c>
      <c r="K423" s="9">
        <v>222</v>
      </c>
      <c r="L423" s="9">
        <v>2024</v>
      </c>
      <c r="M423" s="8" t="s">
        <v>2907</v>
      </c>
      <c r="N423" s="8" t="s">
        <v>125</v>
      </c>
      <c r="O423" s="8" t="s">
        <v>352</v>
      </c>
      <c r="P423" s="6" t="s">
        <v>58</v>
      </c>
      <c r="Q423" s="8" t="s">
        <v>45</v>
      </c>
      <c r="R423" s="10" t="s">
        <v>2884</v>
      </c>
      <c r="S423" s="11"/>
      <c r="T423" s="6"/>
      <c r="U423" s="24" t="str">
        <f>HYPERLINK("https://media.infra-m.ru/1900/1900600/cover/1900600.jpg", "Обложка")</f>
        <v>Обложка</v>
      </c>
      <c r="V423" s="24" t="str">
        <f>HYPERLINK("https://znanium.ru/catalog/product/1900600", "Ознакомиться")</f>
        <v>Ознакомиться</v>
      </c>
      <c r="W423" s="8" t="s">
        <v>2706</v>
      </c>
      <c r="X423" s="6"/>
      <c r="Y423" s="6"/>
      <c r="Z423" s="6"/>
      <c r="AA423" s="6" t="s">
        <v>354</v>
      </c>
      <c r="AB423" s="8" t="s">
        <v>2908</v>
      </c>
    </row>
    <row r="424" spans="1:28" s="4" customFormat="1" ht="51.95" customHeight="1">
      <c r="A424" s="5">
        <v>0</v>
      </c>
      <c r="B424" s="6" t="s">
        <v>2909</v>
      </c>
      <c r="C424" s="7">
        <v>1880</v>
      </c>
      <c r="D424" s="8" t="s">
        <v>2910</v>
      </c>
      <c r="E424" s="8" t="s">
        <v>2911</v>
      </c>
      <c r="F424" s="8" t="s">
        <v>2912</v>
      </c>
      <c r="G424" s="6" t="s">
        <v>90</v>
      </c>
      <c r="H424" s="6" t="s">
        <v>359</v>
      </c>
      <c r="I424" s="8" t="s">
        <v>40</v>
      </c>
      <c r="J424" s="9">
        <v>1</v>
      </c>
      <c r="K424" s="9">
        <v>400</v>
      </c>
      <c r="L424" s="9">
        <v>2024</v>
      </c>
      <c r="M424" s="8" t="s">
        <v>2913</v>
      </c>
      <c r="N424" s="8" t="s">
        <v>125</v>
      </c>
      <c r="O424" s="8" t="s">
        <v>352</v>
      </c>
      <c r="P424" s="6" t="s">
        <v>58</v>
      </c>
      <c r="Q424" s="8" t="s">
        <v>45</v>
      </c>
      <c r="R424" s="10" t="s">
        <v>108</v>
      </c>
      <c r="S424" s="11" t="s">
        <v>2914</v>
      </c>
      <c r="T424" s="6"/>
      <c r="U424" s="24" t="str">
        <f>HYPERLINK("https://media.infra-m.ru/2108/2108465/cover/2108465.jpg", "Обложка")</f>
        <v>Обложка</v>
      </c>
      <c r="V424" s="24" t="str">
        <f>HYPERLINK("https://znanium.ru/catalog/product/2192907", "Ознакомиться")</f>
        <v>Ознакомиться</v>
      </c>
      <c r="W424" s="8" t="s">
        <v>2915</v>
      </c>
      <c r="X424" s="6"/>
      <c r="Y424" s="6"/>
      <c r="Z424" s="6" t="s">
        <v>48</v>
      </c>
      <c r="AA424" s="6" t="s">
        <v>129</v>
      </c>
      <c r="AB424" s="8"/>
    </row>
    <row r="425" spans="1:28" s="4" customFormat="1" ht="51.95" customHeight="1">
      <c r="A425" s="5">
        <v>0</v>
      </c>
      <c r="B425" s="6" t="s">
        <v>2916</v>
      </c>
      <c r="C425" s="7">
        <v>2110</v>
      </c>
      <c r="D425" s="8" t="s">
        <v>2917</v>
      </c>
      <c r="E425" s="8" t="s">
        <v>2918</v>
      </c>
      <c r="F425" s="8" t="s">
        <v>2912</v>
      </c>
      <c r="G425" s="6" t="s">
        <v>90</v>
      </c>
      <c r="H425" s="6" t="s">
        <v>359</v>
      </c>
      <c r="I425" s="8" t="s">
        <v>40</v>
      </c>
      <c r="J425" s="9">
        <v>1</v>
      </c>
      <c r="K425" s="9">
        <v>416</v>
      </c>
      <c r="L425" s="9">
        <v>2025</v>
      </c>
      <c r="M425" s="8" t="s">
        <v>2919</v>
      </c>
      <c r="N425" s="8" t="s">
        <v>125</v>
      </c>
      <c r="O425" s="8" t="s">
        <v>352</v>
      </c>
      <c r="P425" s="6" t="s">
        <v>58</v>
      </c>
      <c r="Q425" s="8" t="s">
        <v>45</v>
      </c>
      <c r="R425" s="10" t="s">
        <v>108</v>
      </c>
      <c r="S425" s="11" t="s">
        <v>2914</v>
      </c>
      <c r="T425" s="6"/>
      <c r="U425" s="24" t="str">
        <f>HYPERLINK("https://media.infra-m.ru/2192/2192907/cover/2192907.jpg", "Обложка")</f>
        <v>Обложка</v>
      </c>
      <c r="V425" s="24" t="str">
        <f>HYPERLINK("https://znanium.ru/catalog/product/2192907", "Ознакомиться")</f>
        <v>Ознакомиться</v>
      </c>
      <c r="W425" s="8" t="s">
        <v>2915</v>
      </c>
      <c r="X425" s="6" t="s">
        <v>450</v>
      </c>
      <c r="Y425" s="6"/>
      <c r="Z425" s="6" t="s">
        <v>48</v>
      </c>
      <c r="AA425" s="6" t="s">
        <v>231</v>
      </c>
      <c r="AB425" s="8"/>
    </row>
    <row r="426" spans="1:28" s="4" customFormat="1" ht="51.95" customHeight="1">
      <c r="A426" s="5">
        <v>0</v>
      </c>
      <c r="B426" s="6" t="s">
        <v>2920</v>
      </c>
      <c r="C426" s="7">
        <v>2090</v>
      </c>
      <c r="D426" s="8" t="s">
        <v>2921</v>
      </c>
      <c r="E426" s="8" t="s">
        <v>2922</v>
      </c>
      <c r="F426" s="8" t="s">
        <v>2923</v>
      </c>
      <c r="G426" s="6" t="s">
        <v>38</v>
      </c>
      <c r="H426" s="6" t="s">
        <v>54</v>
      </c>
      <c r="I426" s="8" t="s">
        <v>40</v>
      </c>
      <c r="J426" s="9">
        <v>1</v>
      </c>
      <c r="K426" s="9">
        <v>464</v>
      </c>
      <c r="L426" s="9">
        <v>2023</v>
      </c>
      <c r="M426" s="8" t="s">
        <v>2924</v>
      </c>
      <c r="N426" s="8" t="s">
        <v>42</v>
      </c>
      <c r="O426" s="8" t="s">
        <v>169</v>
      </c>
      <c r="P426" s="6" t="s">
        <v>58</v>
      </c>
      <c r="Q426" s="8" t="s">
        <v>45</v>
      </c>
      <c r="R426" s="10" t="s">
        <v>2925</v>
      </c>
      <c r="S426" s="11" t="s">
        <v>2926</v>
      </c>
      <c r="T426" s="6"/>
      <c r="U426" s="24" t="str">
        <f>HYPERLINK("https://media.infra-m.ru/1021/1021726/cover/1021726.jpg", "Обложка")</f>
        <v>Обложка</v>
      </c>
      <c r="V426" s="24" t="str">
        <f>HYPERLINK("https://znanium.ru/catalog/product/1021726", "Ознакомиться")</f>
        <v>Ознакомиться</v>
      </c>
      <c r="W426" s="8" t="s">
        <v>2000</v>
      </c>
      <c r="X426" s="6"/>
      <c r="Y426" s="6"/>
      <c r="Z426" s="6" t="s">
        <v>48</v>
      </c>
      <c r="AA426" s="6" t="s">
        <v>362</v>
      </c>
      <c r="AB426" s="8"/>
    </row>
    <row r="427" spans="1:28" s="4" customFormat="1" ht="51.95" customHeight="1">
      <c r="A427" s="5">
        <v>0</v>
      </c>
      <c r="B427" s="6" t="s">
        <v>2927</v>
      </c>
      <c r="C427" s="7">
        <v>1480</v>
      </c>
      <c r="D427" s="8" t="s">
        <v>2928</v>
      </c>
      <c r="E427" s="8" t="s">
        <v>2929</v>
      </c>
      <c r="F427" s="8" t="s">
        <v>2930</v>
      </c>
      <c r="G427" s="6" t="s">
        <v>90</v>
      </c>
      <c r="H427" s="6" t="s">
        <v>39</v>
      </c>
      <c r="I427" s="8" t="s">
        <v>40</v>
      </c>
      <c r="J427" s="9">
        <v>1</v>
      </c>
      <c r="K427" s="9">
        <v>401</v>
      </c>
      <c r="L427" s="9">
        <v>2021</v>
      </c>
      <c r="M427" s="8" t="s">
        <v>2931</v>
      </c>
      <c r="N427" s="8" t="s">
        <v>56</v>
      </c>
      <c r="O427" s="8" t="s">
        <v>57</v>
      </c>
      <c r="P427" s="6" t="s">
        <v>153</v>
      </c>
      <c r="Q427" s="8" t="s">
        <v>45</v>
      </c>
      <c r="R427" s="10" t="s">
        <v>2932</v>
      </c>
      <c r="S427" s="11" t="s">
        <v>2933</v>
      </c>
      <c r="T427" s="6"/>
      <c r="U427" s="24" t="str">
        <f>HYPERLINK("https://media.infra-m.ru/1567/1567549/cover/1567549.jpg", "Обложка")</f>
        <v>Обложка</v>
      </c>
      <c r="V427" s="24" t="str">
        <f>HYPERLINK("https://znanium.ru/catalog/product/1567549", "Ознакомиться")</f>
        <v>Ознакомиться</v>
      </c>
      <c r="W427" s="8" t="s">
        <v>1581</v>
      </c>
      <c r="X427" s="6"/>
      <c r="Y427" s="6"/>
      <c r="Z427" s="6" t="s">
        <v>48</v>
      </c>
      <c r="AA427" s="6" t="s">
        <v>740</v>
      </c>
      <c r="AB427" s="8"/>
    </row>
    <row r="428" spans="1:28" s="4" customFormat="1" ht="51.95" customHeight="1">
      <c r="A428" s="5">
        <v>0</v>
      </c>
      <c r="B428" s="6" t="s">
        <v>2934</v>
      </c>
      <c r="C428" s="7">
        <v>2750</v>
      </c>
      <c r="D428" s="8" t="s">
        <v>2935</v>
      </c>
      <c r="E428" s="8" t="s">
        <v>2936</v>
      </c>
      <c r="F428" s="8" t="s">
        <v>2937</v>
      </c>
      <c r="G428" s="6" t="s">
        <v>38</v>
      </c>
      <c r="H428" s="6" t="s">
        <v>54</v>
      </c>
      <c r="I428" s="8" t="s">
        <v>40</v>
      </c>
      <c r="J428" s="9">
        <v>1</v>
      </c>
      <c r="K428" s="9">
        <v>526</v>
      </c>
      <c r="L428" s="9">
        <v>2026</v>
      </c>
      <c r="M428" s="8" t="s">
        <v>2938</v>
      </c>
      <c r="N428" s="8" t="s">
        <v>56</v>
      </c>
      <c r="O428" s="8" t="s">
        <v>57</v>
      </c>
      <c r="P428" s="6" t="s">
        <v>44</v>
      </c>
      <c r="Q428" s="8" t="s">
        <v>45</v>
      </c>
      <c r="R428" s="10" t="s">
        <v>2939</v>
      </c>
      <c r="S428" s="11" t="s">
        <v>2940</v>
      </c>
      <c r="T428" s="6"/>
      <c r="U428" s="24" t="str">
        <f>HYPERLINK("https://media.infra-m.ru/2213/2213202/cover/2213202.jpg", "Обложка")</f>
        <v>Обложка</v>
      </c>
      <c r="V428" s="24" t="str">
        <f>HYPERLINK("https://znanium.ru/catalog/product/2213202", "Ознакомиться")</f>
        <v>Ознакомиться</v>
      </c>
      <c r="W428" s="8" t="s">
        <v>466</v>
      </c>
      <c r="X428" s="6"/>
      <c r="Y428" s="6" t="s">
        <v>30</v>
      </c>
      <c r="Z428" s="6" t="s">
        <v>48</v>
      </c>
      <c r="AA428" s="6" t="s">
        <v>102</v>
      </c>
      <c r="AB428" s="8"/>
    </row>
    <row r="429" spans="1:28" s="4" customFormat="1" ht="51.95" customHeight="1">
      <c r="A429" s="5">
        <v>0</v>
      </c>
      <c r="B429" s="6" t="s">
        <v>2941</v>
      </c>
      <c r="C429" s="7">
        <v>1224</v>
      </c>
      <c r="D429" s="8" t="s">
        <v>2942</v>
      </c>
      <c r="E429" s="8" t="s">
        <v>2943</v>
      </c>
      <c r="F429" s="8" t="s">
        <v>2944</v>
      </c>
      <c r="G429" s="6" t="s">
        <v>90</v>
      </c>
      <c r="H429" s="6" t="s">
        <v>39</v>
      </c>
      <c r="I429" s="8" t="s">
        <v>40</v>
      </c>
      <c r="J429" s="9">
        <v>1</v>
      </c>
      <c r="K429" s="9">
        <v>272</v>
      </c>
      <c r="L429" s="9">
        <v>2023</v>
      </c>
      <c r="M429" s="8" t="s">
        <v>2945</v>
      </c>
      <c r="N429" s="8" t="s">
        <v>535</v>
      </c>
      <c r="O429" s="8" t="s">
        <v>1048</v>
      </c>
      <c r="P429" s="6" t="s">
        <v>58</v>
      </c>
      <c r="Q429" s="8" t="s">
        <v>45</v>
      </c>
      <c r="R429" s="10" t="s">
        <v>2946</v>
      </c>
      <c r="S429" s="11" t="s">
        <v>2947</v>
      </c>
      <c r="T429" s="6"/>
      <c r="U429" s="24" t="str">
        <f>HYPERLINK("https://media.infra-m.ru/2021/2021426/cover/2021426.jpg", "Обложка")</f>
        <v>Обложка</v>
      </c>
      <c r="V429" s="24" t="str">
        <f>HYPERLINK("https://znanium.ru/catalog/product/2184263", "Ознакомиться")</f>
        <v>Ознакомиться</v>
      </c>
      <c r="W429" s="8" t="s">
        <v>2948</v>
      </c>
      <c r="X429" s="6"/>
      <c r="Y429" s="6"/>
      <c r="Z429" s="6" t="s">
        <v>48</v>
      </c>
      <c r="AA429" s="6" t="s">
        <v>74</v>
      </c>
      <c r="AB429" s="8"/>
    </row>
    <row r="430" spans="1:28" s="4" customFormat="1" ht="51.95" customHeight="1">
      <c r="A430" s="5">
        <v>0</v>
      </c>
      <c r="B430" s="6" t="s">
        <v>2949</v>
      </c>
      <c r="C430" s="7">
        <v>1300</v>
      </c>
      <c r="D430" s="8" t="s">
        <v>2950</v>
      </c>
      <c r="E430" s="8" t="s">
        <v>2951</v>
      </c>
      <c r="F430" s="8" t="s">
        <v>2944</v>
      </c>
      <c r="G430" s="6" t="s">
        <v>90</v>
      </c>
      <c r="H430" s="6" t="s">
        <v>39</v>
      </c>
      <c r="I430" s="8" t="s">
        <v>40</v>
      </c>
      <c r="J430" s="9">
        <v>1</v>
      </c>
      <c r="K430" s="9">
        <v>244</v>
      </c>
      <c r="L430" s="9">
        <v>2025</v>
      </c>
      <c r="M430" s="8" t="s">
        <v>2952</v>
      </c>
      <c r="N430" s="8" t="s">
        <v>535</v>
      </c>
      <c r="O430" s="8" t="s">
        <v>1048</v>
      </c>
      <c r="P430" s="6" t="s">
        <v>58</v>
      </c>
      <c r="Q430" s="8" t="s">
        <v>45</v>
      </c>
      <c r="R430" s="10" t="s">
        <v>2946</v>
      </c>
      <c r="S430" s="11"/>
      <c r="T430" s="6"/>
      <c r="U430" s="24" t="str">
        <f>HYPERLINK("https://media.infra-m.ru/2184/2184263/cover/2184263.jpg", "Обложка")</f>
        <v>Обложка</v>
      </c>
      <c r="V430" s="24" t="str">
        <f>HYPERLINK("https://znanium.ru/catalog/product/2184263", "Ознакомиться")</f>
        <v>Ознакомиться</v>
      </c>
      <c r="W430" s="8" t="s">
        <v>2948</v>
      </c>
      <c r="X430" s="6"/>
      <c r="Y430" s="6"/>
      <c r="Z430" s="6" t="s">
        <v>48</v>
      </c>
      <c r="AA430" s="6" t="s">
        <v>2953</v>
      </c>
      <c r="AB430" s="8"/>
    </row>
    <row r="431" spans="1:28" s="4" customFormat="1" ht="51.95" customHeight="1">
      <c r="A431" s="5">
        <v>0</v>
      </c>
      <c r="B431" s="6" t="s">
        <v>2954</v>
      </c>
      <c r="C431" s="7">
        <v>1730</v>
      </c>
      <c r="D431" s="8" t="s">
        <v>2955</v>
      </c>
      <c r="E431" s="8" t="s">
        <v>2956</v>
      </c>
      <c r="F431" s="8" t="s">
        <v>1507</v>
      </c>
      <c r="G431" s="6" t="s">
        <v>90</v>
      </c>
      <c r="H431" s="6" t="s">
        <v>54</v>
      </c>
      <c r="I431" s="8" t="s">
        <v>40</v>
      </c>
      <c r="J431" s="9">
        <v>1</v>
      </c>
      <c r="K431" s="9">
        <v>345</v>
      </c>
      <c r="L431" s="9">
        <v>2025</v>
      </c>
      <c r="M431" s="8" t="s">
        <v>2957</v>
      </c>
      <c r="N431" s="8" t="s">
        <v>1306</v>
      </c>
      <c r="O431" s="8" t="s">
        <v>1307</v>
      </c>
      <c r="P431" s="6" t="s">
        <v>1285</v>
      </c>
      <c r="Q431" s="8" t="s">
        <v>45</v>
      </c>
      <c r="R431" s="10" t="s">
        <v>2958</v>
      </c>
      <c r="S431" s="11" t="s">
        <v>2959</v>
      </c>
      <c r="T431" s="6"/>
      <c r="U431" s="24" t="str">
        <f>HYPERLINK("https://media.infra-m.ru/2180/2180536/cover/2180536.jpg", "Обложка")</f>
        <v>Обложка</v>
      </c>
      <c r="V431" s="24" t="str">
        <f>HYPERLINK("https://znanium.ru/catalog/product/2180536", "Ознакомиться")</f>
        <v>Ознакомиться</v>
      </c>
      <c r="W431" s="8" t="s">
        <v>180</v>
      </c>
      <c r="X431" s="6"/>
      <c r="Y431" s="6"/>
      <c r="Z431" s="6"/>
      <c r="AA431" s="6" t="s">
        <v>740</v>
      </c>
      <c r="AB431" s="8"/>
    </row>
    <row r="432" spans="1:28" s="4" customFormat="1" ht="51.95" customHeight="1">
      <c r="A432" s="5">
        <v>0</v>
      </c>
      <c r="B432" s="6" t="s">
        <v>2960</v>
      </c>
      <c r="C432" s="13">
        <v>660</v>
      </c>
      <c r="D432" s="8" t="s">
        <v>2961</v>
      </c>
      <c r="E432" s="8" t="s">
        <v>2962</v>
      </c>
      <c r="F432" s="8" t="s">
        <v>2963</v>
      </c>
      <c r="G432" s="6" t="s">
        <v>67</v>
      </c>
      <c r="H432" s="6" t="s">
        <v>54</v>
      </c>
      <c r="I432" s="8" t="s">
        <v>40</v>
      </c>
      <c r="J432" s="9">
        <v>1</v>
      </c>
      <c r="K432" s="9">
        <v>88</v>
      </c>
      <c r="L432" s="9">
        <v>2026</v>
      </c>
      <c r="M432" s="8" t="s">
        <v>2964</v>
      </c>
      <c r="N432" s="8" t="s">
        <v>1306</v>
      </c>
      <c r="O432" s="8" t="s">
        <v>1307</v>
      </c>
      <c r="P432" s="6" t="s">
        <v>44</v>
      </c>
      <c r="Q432" s="8" t="s">
        <v>45</v>
      </c>
      <c r="R432" s="10" t="s">
        <v>2965</v>
      </c>
      <c r="S432" s="11" t="s">
        <v>2966</v>
      </c>
      <c r="T432" s="6"/>
      <c r="U432" s="24" t="str">
        <f>HYPERLINK("https://media.infra-m.ru/2215/2215349/cover/2215349.jpg", "Обложка")</f>
        <v>Обложка</v>
      </c>
      <c r="V432" s="24" t="str">
        <f>HYPERLINK("https://znanium.ru/catalog/product/2215349", "Ознакомиться")</f>
        <v>Ознакомиться</v>
      </c>
      <c r="W432" s="8" t="s">
        <v>260</v>
      </c>
      <c r="X432" s="6"/>
      <c r="Y432" s="6"/>
      <c r="Z432" s="6"/>
      <c r="AA432" s="6" t="s">
        <v>181</v>
      </c>
      <c r="AB432" s="8"/>
    </row>
    <row r="433" spans="1:28" s="4" customFormat="1" ht="51.95" customHeight="1">
      <c r="A433" s="5">
        <v>0</v>
      </c>
      <c r="B433" s="6" t="s">
        <v>2967</v>
      </c>
      <c r="C433" s="7">
        <v>2150</v>
      </c>
      <c r="D433" s="8" t="s">
        <v>2968</v>
      </c>
      <c r="E433" s="8" t="s">
        <v>2969</v>
      </c>
      <c r="F433" s="8" t="s">
        <v>2970</v>
      </c>
      <c r="G433" s="6" t="s">
        <v>38</v>
      </c>
      <c r="H433" s="6" t="s">
        <v>54</v>
      </c>
      <c r="I433" s="8" t="s">
        <v>40</v>
      </c>
      <c r="J433" s="9">
        <v>1</v>
      </c>
      <c r="K433" s="9">
        <v>414</v>
      </c>
      <c r="L433" s="9">
        <v>2025</v>
      </c>
      <c r="M433" s="8" t="s">
        <v>2971</v>
      </c>
      <c r="N433" s="8" t="s">
        <v>42</v>
      </c>
      <c r="O433" s="8" t="s">
        <v>169</v>
      </c>
      <c r="P433" s="6" t="s">
        <v>44</v>
      </c>
      <c r="Q433" s="8" t="s">
        <v>45</v>
      </c>
      <c r="R433" s="10" t="s">
        <v>2972</v>
      </c>
      <c r="S433" s="11" t="s">
        <v>2973</v>
      </c>
      <c r="T433" s="6"/>
      <c r="U433" s="24" t="str">
        <f>HYPERLINK("https://media.infra-m.ru/2202/2202567/cover/2202567.jpg", "Обложка")</f>
        <v>Обложка</v>
      </c>
      <c r="V433" s="24" t="str">
        <f>HYPERLINK("https://znanium.ru/catalog/product/2202567", "Ознакомиться")</f>
        <v>Ознакомиться</v>
      </c>
      <c r="W433" s="8" t="s">
        <v>293</v>
      </c>
      <c r="X433" s="6"/>
      <c r="Y433" s="6" t="s">
        <v>30</v>
      </c>
      <c r="Z433" s="6"/>
      <c r="AA433" s="6" t="s">
        <v>2166</v>
      </c>
      <c r="AB433" s="8"/>
    </row>
    <row r="434" spans="1:28" s="4" customFormat="1" ht="51.95" customHeight="1">
      <c r="A434" s="5">
        <v>0</v>
      </c>
      <c r="B434" s="6" t="s">
        <v>2974</v>
      </c>
      <c r="C434" s="13">
        <v>484</v>
      </c>
      <c r="D434" s="8" t="s">
        <v>2975</v>
      </c>
      <c r="E434" s="8" t="s">
        <v>2976</v>
      </c>
      <c r="F434" s="8" t="s">
        <v>2977</v>
      </c>
      <c r="G434" s="6" t="s">
        <v>67</v>
      </c>
      <c r="H434" s="6" t="s">
        <v>39</v>
      </c>
      <c r="I434" s="8" t="s">
        <v>69</v>
      </c>
      <c r="J434" s="9">
        <v>1</v>
      </c>
      <c r="K434" s="9">
        <v>97</v>
      </c>
      <c r="L434" s="9">
        <v>2025</v>
      </c>
      <c r="M434" s="8" t="s">
        <v>2978</v>
      </c>
      <c r="N434" s="8" t="s">
        <v>535</v>
      </c>
      <c r="O434" s="8" t="s">
        <v>1048</v>
      </c>
      <c r="P434" s="6" t="s">
        <v>44</v>
      </c>
      <c r="Q434" s="8" t="s">
        <v>45</v>
      </c>
      <c r="R434" s="10" t="s">
        <v>2979</v>
      </c>
      <c r="S434" s="11" t="s">
        <v>2980</v>
      </c>
      <c r="T434" s="6"/>
      <c r="U434" s="24" t="str">
        <f>HYPERLINK("https://media.infra-m.ru/2184/2184955/cover/2184955.jpg", "Обложка")</f>
        <v>Обложка</v>
      </c>
      <c r="V434" s="24" t="str">
        <f>HYPERLINK("https://znanium.ru/catalog/product/1807365", "Ознакомиться")</f>
        <v>Ознакомиться</v>
      </c>
      <c r="W434" s="8" t="s">
        <v>2981</v>
      </c>
      <c r="X434" s="6"/>
      <c r="Y434" s="6"/>
      <c r="Z434" s="6"/>
      <c r="AA434" s="6" t="s">
        <v>2093</v>
      </c>
      <c r="AB434" s="8"/>
    </row>
    <row r="435" spans="1:28" s="4" customFormat="1" ht="51.95" customHeight="1">
      <c r="A435" s="5">
        <v>0</v>
      </c>
      <c r="B435" s="6" t="s">
        <v>2982</v>
      </c>
      <c r="C435" s="7">
        <v>2629</v>
      </c>
      <c r="D435" s="8" t="s">
        <v>2983</v>
      </c>
      <c r="E435" s="8" t="s">
        <v>2984</v>
      </c>
      <c r="F435" s="8" t="s">
        <v>2635</v>
      </c>
      <c r="G435" s="6" t="s">
        <v>90</v>
      </c>
      <c r="H435" s="6" t="s">
        <v>54</v>
      </c>
      <c r="I435" s="8" t="s">
        <v>40</v>
      </c>
      <c r="J435" s="9">
        <v>1</v>
      </c>
      <c r="K435" s="9">
        <v>368</v>
      </c>
      <c r="L435" s="9">
        <v>2026</v>
      </c>
      <c r="M435" s="8" t="s">
        <v>2985</v>
      </c>
      <c r="N435" s="8" t="s">
        <v>56</v>
      </c>
      <c r="O435" s="8" t="s">
        <v>807</v>
      </c>
      <c r="P435" s="6" t="s">
        <v>44</v>
      </c>
      <c r="Q435" s="8" t="s">
        <v>45</v>
      </c>
      <c r="R435" s="10" t="s">
        <v>2986</v>
      </c>
      <c r="S435" s="11" t="s">
        <v>2987</v>
      </c>
      <c r="T435" s="6"/>
      <c r="U435" s="24" t="str">
        <f>HYPERLINK("https://media.infra-m.ru/2225/2225082/cover/2225082.jpg", "Обложка")</f>
        <v>Обложка</v>
      </c>
      <c r="V435" s="24" t="str">
        <f>HYPERLINK("https://znanium.ru/catalog/product/2225082", "Ознакомиться")</f>
        <v>Ознакомиться</v>
      </c>
      <c r="W435" s="8" t="s">
        <v>2639</v>
      </c>
      <c r="X435" s="6"/>
      <c r="Y435" s="6"/>
      <c r="Z435" s="6" t="s">
        <v>48</v>
      </c>
      <c r="AA435" s="6" t="s">
        <v>111</v>
      </c>
      <c r="AB435" s="8"/>
    </row>
    <row r="436" spans="1:28" s="4" customFormat="1" ht="51.95" customHeight="1">
      <c r="A436" s="5">
        <v>0</v>
      </c>
      <c r="B436" s="6" t="s">
        <v>2988</v>
      </c>
      <c r="C436" s="7">
        <v>1500</v>
      </c>
      <c r="D436" s="8" t="s">
        <v>2989</v>
      </c>
      <c r="E436" s="8" t="s">
        <v>2990</v>
      </c>
      <c r="F436" s="8" t="s">
        <v>2991</v>
      </c>
      <c r="G436" s="6" t="s">
        <v>90</v>
      </c>
      <c r="H436" s="6" t="s">
        <v>39</v>
      </c>
      <c r="I436" s="8" t="s">
        <v>40</v>
      </c>
      <c r="J436" s="9">
        <v>1</v>
      </c>
      <c r="K436" s="9">
        <v>304</v>
      </c>
      <c r="L436" s="9">
        <v>2022</v>
      </c>
      <c r="M436" s="8" t="s">
        <v>2992</v>
      </c>
      <c r="N436" s="8" t="s">
        <v>56</v>
      </c>
      <c r="O436" s="8" t="s">
        <v>807</v>
      </c>
      <c r="P436" s="6" t="s">
        <v>44</v>
      </c>
      <c r="Q436" s="8" t="s">
        <v>45</v>
      </c>
      <c r="R436" s="10" t="s">
        <v>1722</v>
      </c>
      <c r="S436" s="11" t="s">
        <v>2993</v>
      </c>
      <c r="T436" s="6"/>
      <c r="U436" s="24" t="str">
        <f>HYPERLINK("https://media.infra-m.ru/1860/1860078/cover/1860078.jpg", "Обложка")</f>
        <v>Обложка</v>
      </c>
      <c r="V436" s="24" t="str">
        <f>HYPERLINK("https://znanium.ru/catalog/product/2186405", "Ознакомиться")</f>
        <v>Ознакомиться</v>
      </c>
      <c r="W436" s="8" t="s">
        <v>608</v>
      </c>
      <c r="X436" s="6"/>
      <c r="Y436" s="6"/>
      <c r="Z436" s="6" t="s">
        <v>48</v>
      </c>
      <c r="AA436" s="6" t="s">
        <v>443</v>
      </c>
      <c r="AB436" s="8"/>
    </row>
    <row r="437" spans="1:28" s="4" customFormat="1" ht="42" customHeight="1">
      <c r="A437" s="5">
        <v>0</v>
      </c>
      <c r="B437" s="6" t="s">
        <v>2994</v>
      </c>
      <c r="C437" s="7">
        <v>1970</v>
      </c>
      <c r="D437" s="8" t="s">
        <v>2995</v>
      </c>
      <c r="E437" s="8" t="s">
        <v>2996</v>
      </c>
      <c r="F437" s="8" t="s">
        <v>2991</v>
      </c>
      <c r="G437" s="6" t="s">
        <v>90</v>
      </c>
      <c r="H437" s="6" t="s">
        <v>54</v>
      </c>
      <c r="I437" s="8" t="s">
        <v>40</v>
      </c>
      <c r="J437" s="9">
        <v>1</v>
      </c>
      <c r="K437" s="9">
        <v>389</v>
      </c>
      <c r="L437" s="9">
        <v>2025</v>
      </c>
      <c r="M437" s="8" t="s">
        <v>2997</v>
      </c>
      <c r="N437" s="8" t="s">
        <v>56</v>
      </c>
      <c r="O437" s="8" t="s">
        <v>807</v>
      </c>
      <c r="P437" s="6" t="s">
        <v>44</v>
      </c>
      <c r="Q437" s="8" t="s">
        <v>45</v>
      </c>
      <c r="R437" s="10" t="s">
        <v>1722</v>
      </c>
      <c r="S437" s="11"/>
      <c r="T437" s="6"/>
      <c r="U437" s="24" t="str">
        <f>HYPERLINK("https://media.infra-m.ru/2186/2186405/cover/2186405.jpg", "Обложка")</f>
        <v>Обложка</v>
      </c>
      <c r="V437" s="24" t="str">
        <f>HYPERLINK("https://znanium.ru/catalog/product/2186405", "Ознакомиться")</f>
        <v>Ознакомиться</v>
      </c>
      <c r="W437" s="8" t="s">
        <v>608</v>
      </c>
      <c r="X437" s="6"/>
      <c r="Y437" s="6"/>
      <c r="Z437" s="6" t="s">
        <v>48</v>
      </c>
      <c r="AA437" s="6" t="s">
        <v>2953</v>
      </c>
      <c r="AB437" s="8"/>
    </row>
    <row r="438" spans="1:28" s="4" customFormat="1" ht="51.95" customHeight="1">
      <c r="A438" s="5">
        <v>0</v>
      </c>
      <c r="B438" s="6" t="s">
        <v>2998</v>
      </c>
      <c r="C438" s="7">
        <v>1022</v>
      </c>
      <c r="D438" s="8" t="s">
        <v>2999</v>
      </c>
      <c r="E438" s="8" t="s">
        <v>3000</v>
      </c>
      <c r="F438" s="8" t="s">
        <v>3001</v>
      </c>
      <c r="G438" s="6" t="s">
        <v>90</v>
      </c>
      <c r="H438" s="6" t="s">
        <v>54</v>
      </c>
      <c r="I438" s="8" t="s">
        <v>40</v>
      </c>
      <c r="J438" s="9">
        <v>1</v>
      </c>
      <c r="K438" s="9">
        <v>140</v>
      </c>
      <c r="L438" s="9">
        <v>2025</v>
      </c>
      <c r="M438" s="8" t="s">
        <v>3002</v>
      </c>
      <c r="N438" s="8" t="s">
        <v>56</v>
      </c>
      <c r="O438" s="8" t="s">
        <v>807</v>
      </c>
      <c r="P438" s="6" t="s">
        <v>44</v>
      </c>
      <c r="Q438" s="8" t="s">
        <v>45</v>
      </c>
      <c r="R438" s="10" t="s">
        <v>1722</v>
      </c>
      <c r="S438" s="11" t="s">
        <v>2987</v>
      </c>
      <c r="T438" s="6"/>
      <c r="U438" s="24" t="str">
        <f>HYPERLINK("https://media.infra-m.ru/2174/2174111/cover/2174111.jpg", "Обложка")</f>
        <v>Обложка</v>
      </c>
      <c r="V438" s="24" t="str">
        <f>HYPERLINK("https://znanium.ru/catalog/product/2174111", "Ознакомиться")</f>
        <v>Ознакомиться</v>
      </c>
      <c r="W438" s="8" t="s">
        <v>608</v>
      </c>
      <c r="X438" s="6"/>
      <c r="Y438" s="6"/>
      <c r="Z438" s="6" t="s">
        <v>207</v>
      </c>
      <c r="AA438" s="6" t="s">
        <v>563</v>
      </c>
      <c r="AB438" s="8"/>
    </row>
    <row r="439" spans="1:28" s="4" customFormat="1" ht="42" customHeight="1">
      <c r="A439" s="5">
        <v>0</v>
      </c>
      <c r="B439" s="6" t="s">
        <v>3003</v>
      </c>
      <c r="C439" s="7">
        <v>1090</v>
      </c>
      <c r="D439" s="8" t="s">
        <v>3004</v>
      </c>
      <c r="E439" s="8" t="s">
        <v>3005</v>
      </c>
      <c r="F439" s="8" t="s">
        <v>3006</v>
      </c>
      <c r="G439" s="6" t="s">
        <v>38</v>
      </c>
      <c r="H439" s="6" t="s">
        <v>54</v>
      </c>
      <c r="I439" s="8" t="s">
        <v>40</v>
      </c>
      <c r="J439" s="9">
        <v>1</v>
      </c>
      <c r="K439" s="9">
        <v>194</v>
      </c>
      <c r="L439" s="9">
        <v>2025</v>
      </c>
      <c r="M439" s="8" t="s">
        <v>3007</v>
      </c>
      <c r="N439" s="8" t="s">
        <v>56</v>
      </c>
      <c r="O439" s="8" t="s">
        <v>57</v>
      </c>
      <c r="P439" s="6" t="s">
        <v>44</v>
      </c>
      <c r="Q439" s="8" t="s">
        <v>45</v>
      </c>
      <c r="R439" s="10" t="s">
        <v>3008</v>
      </c>
      <c r="S439" s="11"/>
      <c r="T439" s="6"/>
      <c r="U439" s="24" t="str">
        <f>HYPERLINK("https://media.infra-m.ru/2169/2169780/cover/2169780.jpg", "Обложка")</f>
        <v>Обложка</v>
      </c>
      <c r="V439" s="24" t="str">
        <f>HYPERLINK("https://znanium.ru/catalog/product/2169780", "Ознакомиться")</f>
        <v>Ознакомиться</v>
      </c>
      <c r="W439" s="8" t="s">
        <v>3009</v>
      </c>
      <c r="X439" s="6" t="s">
        <v>518</v>
      </c>
      <c r="Y439" s="6"/>
      <c r="Z439" s="6" t="s">
        <v>207</v>
      </c>
      <c r="AA439" s="6" t="s">
        <v>84</v>
      </c>
      <c r="AB439" s="8"/>
    </row>
    <row r="440" spans="1:28" s="4" customFormat="1" ht="51.95" customHeight="1">
      <c r="A440" s="5">
        <v>0</v>
      </c>
      <c r="B440" s="6" t="s">
        <v>3010</v>
      </c>
      <c r="C440" s="7">
        <v>1200</v>
      </c>
      <c r="D440" s="8" t="s">
        <v>3011</v>
      </c>
      <c r="E440" s="8" t="s">
        <v>3012</v>
      </c>
      <c r="F440" s="8" t="s">
        <v>3013</v>
      </c>
      <c r="G440" s="6" t="s">
        <v>90</v>
      </c>
      <c r="H440" s="6" t="s">
        <v>54</v>
      </c>
      <c r="I440" s="8" t="s">
        <v>40</v>
      </c>
      <c r="J440" s="9">
        <v>1</v>
      </c>
      <c r="K440" s="9">
        <v>240</v>
      </c>
      <c r="L440" s="9">
        <v>2025</v>
      </c>
      <c r="M440" s="8" t="s">
        <v>3014</v>
      </c>
      <c r="N440" s="8" t="s">
        <v>42</v>
      </c>
      <c r="O440" s="8" t="s">
        <v>319</v>
      </c>
      <c r="P440" s="6" t="s">
        <v>44</v>
      </c>
      <c r="Q440" s="8" t="s">
        <v>45</v>
      </c>
      <c r="R440" s="10" t="s">
        <v>3015</v>
      </c>
      <c r="S440" s="11" t="s">
        <v>2987</v>
      </c>
      <c r="T440" s="6" t="s">
        <v>118</v>
      </c>
      <c r="U440" s="24" t="str">
        <f>HYPERLINK("https://media.infra-m.ru/2178/2178918/cover/2178918.jpg", "Обложка")</f>
        <v>Обложка</v>
      </c>
      <c r="V440" s="24" t="str">
        <f>HYPERLINK("https://znanium.ru/catalog/product/2178918", "Ознакомиться")</f>
        <v>Ознакомиться</v>
      </c>
      <c r="W440" s="8" t="s">
        <v>293</v>
      </c>
      <c r="X440" s="6"/>
      <c r="Y440" s="6"/>
      <c r="Z440" s="6" t="s">
        <v>48</v>
      </c>
      <c r="AA440" s="6" t="s">
        <v>111</v>
      </c>
      <c r="AB440" s="8"/>
    </row>
    <row r="441" spans="1:28" s="4" customFormat="1" ht="51.95" customHeight="1">
      <c r="A441" s="5">
        <v>0</v>
      </c>
      <c r="B441" s="6" t="s">
        <v>3016</v>
      </c>
      <c r="C441" s="7">
        <v>1744</v>
      </c>
      <c r="D441" s="8" t="s">
        <v>3017</v>
      </c>
      <c r="E441" s="8" t="s">
        <v>3018</v>
      </c>
      <c r="F441" s="8" t="s">
        <v>3019</v>
      </c>
      <c r="G441" s="6" t="s">
        <v>90</v>
      </c>
      <c r="H441" s="6" t="s">
        <v>54</v>
      </c>
      <c r="I441" s="8" t="s">
        <v>40</v>
      </c>
      <c r="J441" s="9">
        <v>1</v>
      </c>
      <c r="K441" s="9">
        <v>348</v>
      </c>
      <c r="L441" s="9">
        <v>2025</v>
      </c>
      <c r="M441" s="8" t="s">
        <v>3020</v>
      </c>
      <c r="N441" s="8" t="s">
        <v>42</v>
      </c>
      <c r="O441" s="8" t="s">
        <v>319</v>
      </c>
      <c r="P441" s="6" t="s">
        <v>58</v>
      </c>
      <c r="Q441" s="8" t="s">
        <v>45</v>
      </c>
      <c r="R441" s="10" t="s">
        <v>3021</v>
      </c>
      <c r="S441" s="11" t="s">
        <v>3022</v>
      </c>
      <c r="T441" s="6"/>
      <c r="U441" s="24" t="str">
        <f>HYPERLINK("https://media.infra-m.ru/2188/2188493/cover/2188493.jpg", "Обложка")</f>
        <v>Обложка</v>
      </c>
      <c r="V441" s="24" t="str">
        <f>HYPERLINK("https://znanium.ru/catalog/product/1227657", "Ознакомиться")</f>
        <v>Ознакомиться</v>
      </c>
      <c r="W441" s="8" t="s">
        <v>3023</v>
      </c>
      <c r="X441" s="6"/>
      <c r="Y441" s="6"/>
      <c r="Z441" s="6" t="s">
        <v>207</v>
      </c>
      <c r="AA441" s="6" t="s">
        <v>740</v>
      </c>
      <c r="AB441" s="8"/>
    </row>
    <row r="442" spans="1:28" s="4" customFormat="1" ht="51.95" customHeight="1">
      <c r="A442" s="5">
        <v>0</v>
      </c>
      <c r="B442" s="6" t="s">
        <v>3024</v>
      </c>
      <c r="C442" s="7">
        <v>1544</v>
      </c>
      <c r="D442" s="8" t="s">
        <v>3025</v>
      </c>
      <c r="E442" s="8" t="s">
        <v>3026</v>
      </c>
      <c r="F442" s="8" t="s">
        <v>1780</v>
      </c>
      <c r="G442" s="6" t="s">
        <v>38</v>
      </c>
      <c r="H442" s="6" t="s">
        <v>54</v>
      </c>
      <c r="I442" s="8" t="s">
        <v>40</v>
      </c>
      <c r="J442" s="9">
        <v>1</v>
      </c>
      <c r="K442" s="9">
        <v>280</v>
      </c>
      <c r="L442" s="9">
        <v>2026</v>
      </c>
      <c r="M442" s="8" t="s">
        <v>3027</v>
      </c>
      <c r="N442" s="8" t="s">
        <v>42</v>
      </c>
      <c r="O442" s="8" t="s">
        <v>319</v>
      </c>
      <c r="P442" s="6" t="s">
        <v>44</v>
      </c>
      <c r="Q442" s="8" t="s">
        <v>45</v>
      </c>
      <c r="R442" s="10" t="s">
        <v>3028</v>
      </c>
      <c r="S442" s="11" t="s">
        <v>3029</v>
      </c>
      <c r="T442" s="6"/>
      <c r="U442" s="24" t="str">
        <f>HYPERLINK("https://media.infra-m.ru/2226/2226493/cover/2226493.jpg", "Обложка")</f>
        <v>Обложка</v>
      </c>
      <c r="V442" s="24" t="str">
        <f>HYPERLINK("https://znanium.ru/catalog/product/2216926", "Ознакомиться")</f>
        <v>Ознакомиться</v>
      </c>
      <c r="W442" s="8" t="s">
        <v>1067</v>
      </c>
      <c r="X442" s="6"/>
      <c r="Y442" s="6"/>
      <c r="Z442" s="6" t="s">
        <v>48</v>
      </c>
      <c r="AA442" s="6" t="s">
        <v>500</v>
      </c>
      <c r="AB442" s="8"/>
    </row>
    <row r="443" spans="1:28" s="4" customFormat="1" ht="51.95" customHeight="1">
      <c r="A443" s="5">
        <v>0</v>
      </c>
      <c r="B443" s="6" t="s">
        <v>3030</v>
      </c>
      <c r="C443" s="7">
        <v>1170</v>
      </c>
      <c r="D443" s="8" t="s">
        <v>3031</v>
      </c>
      <c r="E443" s="8" t="s">
        <v>3032</v>
      </c>
      <c r="F443" s="8" t="s">
        <v>3033</v>
      </c>
      <c r="G443" s="6" t="s">
        <v>90</v>
      </c>
      <c r="H443" s="6" t="s">
        <v>54</v>
      </c>
      <c r="I443" s="8" t="s">
        <v>40</v>
      </c>
      <c r="J443" s="9">
        <v>1</v>
      </c>
      <c r="K443" s="9">
        <v>219</v>
      </c>
      <c r="L443" s="9">
        <v>2026</v>
      </c>
      <c r="M443" s="8" t="s">
        <v>3034</v>
      </c>
      <c r="N443" s="8" t="s">
        <v>42</v>
      </c>
      <c r="O443" s="8" t="s">
        <v>553</v>
      </c>
      <c r="P443" s="6" t="s">
        <v>44</v>
      </c>
      <c r="Q443" s="8" t="s">
        <v>45</v>
      </c>
      <c r="R443" s="10" t="s">
        <v>3035</v>
      </c>
      <c r="S443" s="11" t="s">
        <v>3036</v>
      </c>
      <c r="T443" s="6"/>
      <c r="U443" s="24" t="str">
        <f>HYPERLINK("https://media.infra-m.ru/2216/2216018/cover/2216018.jpg", "Обложка")</f>
        <v>Обложка</v>
      </c>
      <c r="V443" s="24" t="str">
        <f>HYPERLINK("https://znanium.ru/catalog/product/2216018", "Ознакомиться")</f>
        <v>Ознакомиться</v>
      </c>
      <c r="W443" s="8" t="s">
        <v>3037</v>
      </c>
      <c r="X443" s="6"/>
      <c r="Y443" s="6"/>
      <c r="Z443" s="6" t="s">
        <v>207</v>
      </c>
      <c r="AA443" s="6" t="s">
        <v>223</v>
      </c>
      <c r="AB443" s="8"/>
    </row>
    <row r="444" spans="1:28" s="4" customFormat="1" ht="51.95" customHeight="1">
      <c r="A444" s="5">
        <v>0</v>
      </c>
      <c r="B444" s="6" t="s">
        <v>3038</v>
      </c>
      <c r="C444" s="13">
        <v>854</v>
      </c>
      <c r="D444" s="8" t="s">
        <v>3039</v>
      </c>
      <c r="E444" s="8" t="s">
        <v>3040</v>
      </c>
      <c r="F444" s="8" t="s">
        <v>3041</v>
      </c>
      <c r="G444" s="6" t="s">
        <v>90</v>
      </c>
      <c r="H444" s="6" t="s">
        <v>54</v>
      </c>
      <c r="I444" s="8" t="s">
        <v>40</v>
      </c>
      <c r="J444" s="9">
        <v>1</v>
      </c>
      <c r="K444" s="9">
        <v>164</v>
      </c>
      <c r="L444" s="9">
        <v>2025</v>
      </c>
      <c r="M444" s="8" t="s">
        <v>3042</v>
      </c>
      <c r="N444" s="8" t="s">
        <v>42</v>
      </c>
      <c r="O444" s="8" t="s">
        <v>553</v>
      </c>
      <c r="P444" s="6" t="s">
        <v>44</v>
      </c>
      <c r="Q444" s="8" t="s">
        <v>45</v>
      </c>
      <c r="R444" s="10" t="s">
        <v>3043</v>
      </c>
      <c r="S444" s="11" t="s">
        <v>3044</v>
      </c>
      <c r="T444" s="6"/>
      <c r="U444" s="24" t="str">
        <f>HYPERLINK("https://media.infra-m.ru/2210/2210892/cover/2210892.jpg", "Обложка")</f>
        <v>Обложка</v>
      </c>
      <c r="V444" s="24" t="str">
        <f>HYPERLINK("https://znanium.ru/catalog/product/2210345", "Ознакомиться")</f>
        <v>Ознакомиться</v>
      </c>
      <c r="W444" s="8" t="s">
        <v>3037</v>
      </c>
      <c r="X444" s="6"/>
      <c r="Y444" s="6"/>
      <c r="Z444" s="6" t="s">
        <v>48</v>
      </c>
      <c r="AA444" s="6" t="s">
        <v>223</v>
      </c>
      <c r="AB444" s="8"/>
    </row>
    <row r="445" spans="1:28" s="4" customFormat="1" ht="51.95" customHeight="1">
      <c r="A445" s="5">
        <v>0</v>
      </c>
      <c r="B445" s="6" t="s">
        <v>3045</v>
      </c>
      <c r="C445" s="7">
        <v>1224</v>
      </c>
      <c r="D445" s="8" t="s">
        <v>3046</v>
      </c>
      <c r="E445" s="8" t="s">
        <v>3047</v>
      </c>
      <c r="F445" s="8" t="s">
        <v>3033</v>
      </c>
      <c r="G445" s="6" t="s">
        <v>90</v>
      </c>
      <c r="H445" s="6" t="s">
        <v>54</v>
      </c>
      <c r="I445" s="8" t="s">
        <v>40</v>
      </c>
      <c r="J445" s="9">
        <v>1</v>
      </c>
      <c r="K445" s="9">
        <v>223</v>
      </c>
      <c r="L445" s="9">
        <v>2026</v>
      </c>
      <c r="M445" s="8" t="s">
        <v>3048</v>
      </c>
      <c r="N445" s="8" t="s">
        <v>42</v>
      </c>
      <c r="O445" s="8" t="s">
        <v>553</v>
      </c>
      <c r="P445" s="6" t="s">
        <v>44</v>
      </c>
      <c r="Q445" s="8" t="s">
        <v>45</v>
      </c>
      <c r="R445" s="10" t="s">
        <v>3049</v>
      </c>
      <c r="S445" s="11" t="s">
        <v>3050</v>
      </c>
      <c r="T445" s="6"/>
      <c r="U445" s="24" t="str">
        <f>HYPERLINK("https://media.infra-m.ru/2224/2224146/cover/2224146.jpg", "Обложка")</f>
        <v>Обложка</v>
      </c>
      <c r="V445" s="24" t="str">
        <f>HYPERLINK("https://znanium.ru/catalog/product/1919426", "Ознакомиться")</f>
        <v>Ознакомиться</v>
      </c>
      <c r="W445" s="8" t="s">
        <v>3037</v>
      </c>
      <c r="X445" s="6"/>
      <c r="Y445" s="6"/>
      <c r="Z445" s="6" t="s">
        <v>48</v>
      </c>
      <c r="AA445" s="6" t="s">
        <v>223</v>
      </c>
      <c r="AB445" s="8"/>
    </row>
    <row r="446" spans="1:28" s="4" customFormat="1" ht="51.95" customHeight="1">
      <c r="A446" s="5">
        <v>0</v>
      </c>
      <c r="B446" s="6" t="s">
        <v>3051</v>
      </c>
      <c r="C446" s="13">
        <v>850</v>
      </c>
      <c r="D446" s="8" t="s">
        <v>3052</v>
      </c>
      <c r="E446" s="8" t="s">
        <v>3053</v>
      </c>
      <c r="F446" s="8" t="s">
        <v>3033</v>
      </c>
      <c r="G446" s="6" t="s">
        <v>90</v>
      </c>
      <c r="H446" s="6" t="s">
        <v>54</v>
      </c>
      <c r="I446" s="8" t="s">
        <v>40</v>
      </c>
      <c r="J446" s="9">
        <v>1</v>
      </c>
      <c r="K446" s="9">
        <v>158</v>
      </c>
      <c r="L446" s="9">
        <v>2026</v>
      </c>
      <c r="M446" s="8" t="s">
        <v>3054</v>
      </c>
      <c r="N446" s="8" t="s">
        <v>42</v>
      </c>
      <c r="O446" s="8" t="s">
        <v>553</v>
      </c>
      <c r="P446" s="6" t="s">
        <v>44</v>
      </c>
      <c r="Q446" s="8" t="s">
        <v>45</v>
      </c>
      <c r="R446" s="10" t="s">
        <v>3035</v>
      </c>
      <c r="S446" s="11" t="s">
        <v>3050</v>
      </c>
      <c r="T446" s="6"/>
      <c r="U446" s="24" t="str">
        <f>HYPERLINK("https://media.infra-m.ru/2218/2218361/cover/2218361.jpg", "Обложка")</f>
        <v>Обложка</v>
      </c>
      <c r="V446" s="24" t="str">
        <f>HYPERLINK("https://znanium.ru/catalog/product/2218361", "Ознакомиться")</f>
        <v>Ознакомиться</v>
      </c>
      <c r="W446" s="8" t="s">
        <v>3037</v>
      </c>
      <c r="X446" s="6"/>
      <c r="Y446" s="6"/>
      <c r="Z446" s="6" t="s">
        <v>48</v>
      </c>
      <c r="AA446" s="6" t="s">
        <v>223</v>
      </c>
      <c r="AB446" s="8"/>
    </row>
    <row r="447" spans="1:28" s="4" customFormat="1" ht="51.95" customHeight="1">
      <c r="A447" s="5">
        <v>0</v>
      </c>
      <c r="B447" s="6" t="s">
        <v>3055</v>
      </c>
      <c r="C447" s="13">
        <v>790</v>
      </c>
      <c r="D447" s="8" t="s">
        <v>3056</v>
      </c>
      <c r="E447" s="8" t="s">
        <v>3057</v>
      </c>
      <c r="F447" s="8" t="s">
        <v>3033</v>
      </c>
      <c r="G447" s="6" t="s">
        <v>90</v>
      </c>
      <c r="H447" s="6" t="s">
        <v>54</v>
      </c>
      <c r="I447" s="8" t="s">
        <v>40</v>
      </c>
      <c r="J447" s="9">
        <v>1</v>
      </c>
      <c r="K447" s="9">
        <v>140</v>
      </c>
      <c r="L447" s="9">
        <v>2026</v>
      </c>
      <c r="M447" s="8" t="s">
        <v>3058</v>
      </c>
      <c r="N447" s="8" t="s">
        <v>42</v>
      </c>
      <c r="O447" s="8" t="s">
        <v>553</v>
      </c>
      <c r="P447" s="6" t="s">
        <v>44</v>
      </c>
      <c r="Q447" s="8" t="s">
        <v>45</v>
      </c>
      <c r="R447" s="10" t="s">
        <v>3043</v>
      </c>
      <c r="S447" s="11" t="s">
        <v>3050</v>
      </c>
      <c r="T447" s="6"/>
      <c r="U447" s="24" t="str">
        <f>HYPERLINK("https://media.infra-m.ru/2214/2214850/cover/2214850.jpg", "Обложка")</f>
        <v>Обложка</v>
      </c>
      <c r="V447" s="24" t="str">
        <f>HYPERLINK("https://znanium.ru/catalog/product/2214850", "Ознакомиться")</f>
        <v>Ознакомиться</v>
      </c>
      <c r="W447" s="8" t="s">
        <v>3037</v>
      </c>
      <c r="X447" s="6"/>
      <c r="Y447" s="6"/>
      <c r="Z447" s="6" t="s">
        <v>48</v>
      </c>
      <c r="AA447" s="6" t="s">
        <v>223</v>
      </c>
      <c r="AB447" s="8"/>
    </row>
    <row r="448" spans="1:28" s="4" customFormat="1" ht="51.95" customHeight="1">
      <c r="A448" s="5">
        <v>0</v>
      </c>
      <c r="B448" s="6" t="s">
        <v>3059</v>
      </c>
      <c r="C448" s="7">
        <v>2692</v>
      </c>
      <c r="D448" s="8" t="s">
        <v>3060</v>
      </c>
      <c r="E448" s="8" t="s">
        <v>3061</v>
      </c>
      <c r="F448" s="8" t="s">
        <v>3062</v>
      </c>
      <c r="G448" s="6" t="s">
        <v>90</v>
      </c>
      <c r="H448" s="6" t="s">
        <v>39</v>
      </c>
      <c r="I448" s="8" t="s">
        <v>69</v>
      </c>
      <c r="J448" s="9">
        <v>1</v>
      </c>
      <c r="K448" s="9">
        <v>400</v>
      </c>
      <c r="L448" s="9">
        <v>2025</v>
      </c>
      <c r="M448" s="8" t="s">
        <v>3063</v>
      </c>
      <c r="N448" s="8" t="s">
        <v>42</v>
      </c>
      <c r="O448" s="8" t="s">
        <v>553</v>
      </c>
      <c r="P448" s="6" t="s">
        <v>44</v>
      </c>
      <c r="Q448" s="8" t="s">
        <v>45</v>
      </c>
      <c r="R448" s="10" t="s">
        <v>3064</v>
      </c>
      <c r="S448" s="11" t="s">
        <v>3065</v>
      </c>
      <c r="T448" s="6"/>
      <c r="U448" s="24" t="str">
        <f>HYPERLINK("https://media.infra-m.ru/2208/2208223/cover/2208223.jpg", "Обложка")</f>
        <v>Обложка</v>
      </c>
      <c r="V448" s="24" t="str">
        <f>HYPERLINK("https://znanium.ru/catalog/product/2208223", "Ознакомиться")</f>
        <v>Ознакомиться</v>
      </c>
      <c r="W448" s="8" t="s">
        <v>3066</v>
      </c>
      <c r="X448" s="6"/>
      <c r="Y448" s="6"/>
      <c r="Z448" s="6"/>
      <c r="AA448" s="6" t="s">
        <v>696</v>
      </c>
      <c r="AB448" s="8"/>
    </row>
    <row r="449" spans="1:28" s="4" customFormat="1" ht="51.95" customHeight="1">
      <c r="A449" s="5">
        <v>0</v>
      </c>
      <c r="B449" s="6" t="s">
        <v>3067</v>
      </c>
      <c r="C449" s="7">
        <v>1240</v>
      </c>
      <c r="D449" s="8" t="s">
        <v>3068</v>
      </c>
      <c r="E449" s="8" t="s">
        <v>3069</v>
      </c>
      <c r="F449" s="8" t="s">
        <v>3070</v>
      </c>
      <c r="G449" s="6" t="s">
        <v>38</v>
      </c>
      <c r="H449" s="6" t="s">
        <v>54</v>
      </c>
      <c r="I449" s="8" t="s">
        <v>40</v>
      </c>
      <c r="J449" s="9">
        <v>1</v>
      </c>
      <c r="K449" s="9">
        <v>253</v>
      </c>
      <c r="L449" s="9">
        <v>2024</v>
      </c>
      <c r="M449" s="8" t="s">
        <v>3071</v>
      </c>
      <c r="N449" s="8" t="s">
        <v>42</v>
      </c>
      <c r="O449" s="8" t="s">
        <v>43</v>
      </c>
      <c r="P449" s="6" t="s">
        <v>44</v>
      </c>
      <c r="Q449" s="8" t="s">
        <v>45</v>
      </c>
      <c r="R449" s="10" t="s">
        <v>3072</v>
      </c>
      <c r="S449" s="11"/>
      <c r="T449" s="6"/>
      <c r="U449" s="24" t="str">
        <f>HYPERLINK("https://media.infra-m.ru/1899/1899098/cover/1899098.jpg", "Обложка")</f>
        <v>Обложка</v>
      </c>
      <c r="V449" s="24" t="str">
        <f>HYPERLINK("https://znanium.ru/catalog/product/1899098", "Ознакомиться")</f>
        <v>Ознакомиться</v>
      </c>
      <c r="W449" s="8" t="s">
        <v>3073</v>
      </c>
      <c r="X449" s="6"/>
      <c r="Y449" s="6"/>
      <c r="Z449" s="6"/>
      <c r="AA449" s="6" t="s">
        <v>354</v>
      </c>
      <c r="AB449" s="8" t="s">
        <v>3074</v>
      </c>
    </row>
    <row r="450" spans="1:28" s="4" customFormat="1" ht="51.95" customHeight="1">
      <c r="A450" s="5">
        <v>0</v>
      </c>
      <c r="B450" s="6" t="s">
        <v>3075</v>
      </c>
      <c r="C450" s="7">
        <v>1660</v>
      </c>
      <c r="D450" s="8" t="s">
        <v>3076</v>
      </c>
      <c r="E450" s="8" t="s">
        <v>3077</v>
      </c>
      <c r="F450" s="8" t="s">
        <v>3078</v>
      </c>
      <c r="G450" s="6" t="s">
        <v>90</v>
      </c>
      <c r="H450" s="6" t="s">
        <v>54</v>
      </c>
      <c r="I450" s="8" t="s">
        <v>40</v>
      </c>
      <c r="J450" s="9">
        <v>1</v>
      </c>
      <c r="K450" s="9">
        <v>395</v>
      </c>
      <c r="L450" s="9">
        <v>2022</v>
      </c>
      <c r="M450" s="8" t="s">
        <v>3079</v>
      </c>
      <c r="N450" s="8" t="s">
        <v>56</v>
      </c>
      <c r="O450" s="8" t="s">
        <v>57</v>
      </c>
      <c r="P450" s="6" t="s">
        <v>44</v>
      </c>
      <c r="Q450" s="8" t="s">
        <v>45</v>
      </c>
      <c r="R450" s="10" t="s">
        <v>3080</v>
      </c>
      <c r="S450" s="11" t="s">
        <v>3081</v>
      </c>
      <c r="T450" s="6" t="s">
        <v>118</v>
      </c>
      <c r="U450" s="24" t="str">
        <f>HYPERLINK("https://media.infra-m.ru/1863/1863925/cover/1863925.jpg", "Обложка")</f>
        <v>Обложка</v>
      </c>
      <c r="V450" s="24" t="str">
        <f>HYPERLINK("https://znanium.ru/catalog/product/1863925", "Ознакомиться")</f>
        <v>Ознакомиться</v>
      </c>
      <c r="W450" s="8" t="s">
        <v>3082</v>
      </c>
      <c r="X450" s="6"/>
      <c r="Y450" s="6"/>
      <c r="Z450" s="6" t="s">
        <v>48</v>
      </c>
      <c r="AA450" s="6" t="s">
        <v>111</v>
      </c>
      <c r="AB450" s="8"/>
    </row>
    <row r="451" spans="1:28" s="4" customFormat="1" ht="51.95" customHeight="1">
      <c r="A451" s="5">
        <v>0</v>
      </c>
      <c r="B451" s="6" t="s">
        <v>3083</v>
      </c>
      <c r="C451" s="7">
        <v>1050</v>
      </c>
      <c r="D451" s="8" t="s">
        <v>3084</v>
      </c>
      <c r="E451" s="8" t="s">
        <v>3085</v>
      </c>
      <c r="F451" s="8" t="s">
        <v>3086</v>
      </c>
      <c r="G451" s="6" t="s">
        <v>90</v>
      </c>
      <c r="H451" s="6" t="s">
        <v>54</v>
      </c>
      <c r="I451" s="8" t="s">
        <v>40</v>
      </c>
      <c r="J451" s="9">
        <v>1</v>
      </c>
      <c r="K451" s="9">
        <v>210</v>
      </c>
      <c r="L451" s="9">
        <v>2025</v>
      </c>
      <c r="M451" s="8" t="s">
        <v>3087</v>
      </c>
      <c r="N451" s="8" t="s">
        <v>125</v>
      </c>
      <c r="O451" s="8" t="s">
        <v>352</v>
      </c>
      <c r="P451" s="6" t="s">
        <v>58</v>
      </c>
      <c r="Q451" s="8" t="s">
        <v>45</v>
      </c>
      <c r="R451" s="10" t="s">
        <v>108</v>
      </c>
      <c r="S451" s="11" t="s">
        <v>3088</v>
      </c>
      <c r="T451" s="6"/>
      <c r="U451" s="24" t="str">
        <f>HYPERLINK("https://media.infra-m.ru/2167/2167690/cover/2167690.jpg", "Обложка")</f>
        <v>Обложка</v>
      </c>
      <c r="V451" s="24" t="str">
        <f>HYPERLINK("https://znanium.ru/catalog/product/2167690", "Ознакомиться")</f>
        <v>Ознакомиться</v>
      </c>
      <c r="W451" s="8" t="s">
        <v>3089</v>
      </c>
      <c r="X451" s="6"/>
      <c r="Y451" s="6"/>
      <c r="Z451" s="6" t="s">
        <v>48</v>
      </c>
      <c r="AA451" s="6" t="s">
        <v>740</v>
      </c>
      <c r="AB451" s="8"/>
    </row>
    <row r="452" spans="1:28" s="4" customFormat="1" ht="42" customHeight="1">
      <c r="A452" s="5">
        <v>0</v>
      </c>
      <c r="B452" s="6" t="s">
        <v>3090</v>
      </c>
      <c r="C452" s="13">
        <v>980</v>
      </c>
      <c r="D452" s="8" t="s">
        <v>3091</v>
      </c>
      <c r="E452" s="8" t="s">
        <v>3092</v>
      </c>
      <c r="F452" s="8" t="s">
        <v>3093</v>
      </c>
      <c r="G452" s="6" t="s">
        <v>90</v>
      </c>
      <c r="H452" s="6" t="s">
        <v>54</v>
      </c>
      <c r="I452" s="8" t="s">
        <v>40</v>
      </c>
      <c r="J452" s="9">
        <v>1</v>
      </c>
      <c r="K452" s="9">
        <v>179</v>
      </c>
      <c r="L452" s="9">
        <v>2025</v>
      </c>
      <c r="M452" s="8" t="s">
        <v>3094</v>
      </c>
      <c r="N452" s="8" t="s">
        <v>125</v>
      </c>
      <c r="O452" s="8" t="s">
        <v>352</v>
      </c>
      <c r="P452" s="6" t="s">
        <v>44</v>
      </c>
      <c r="Q452" s="8" t="s">
        <v>45</v>
      </c>
      <c r="R452" s="10" t="s">
        <v>108</v>
      </c>
      <c r="S452" s="11"/>
      <c r="T452" s="6"/>
      <c r="U452" s="24" t="str">
        <f>HYPERLINK("https://media.infra-m.ru/2225/2225204/cover/2225204.jpg", "Обложка")</f>
        <v>Обложка</v>
      </c>
      <c r="V452" s="24" t="str">
        <f>HYPERLINK("https://znanium.ru/catalog/product/2174943", "Ознакомиться")</f>
        <v>Ознакомиться</v>
      </c>
      <c r="W452" s="8" t="s">
        <v>3095</v>
      </c>
      <c r="X452" s="6"/>
      <c r="Y452" s="6"/>
      <c r="Z452" s="6" t="s">
        <v>48</v>
      </c>
      <c r="AA452" s="6" t="s">
        <v>231</v>
      </c>
      <c r="AB452" s="8"/>
    </row>
    <row r="453" spans="1:28" s="4" customFormat="1" ht="42" customHeight="1">
      <c r="A453" s="5">
        <v>0</v>
      </c>
      <c r="B453" s="6" t="s">
        <v>3096</v>
      </c>
      <c r="C453" s="7">
        <v>1324</v>
      </c>
      <c r="D453" s="8" t="s">
        <v>3097</v>
      </c>
      <c r="E453" s="8" t="s">
        <v>3098</v>
      </c>
      <c r="F453" s="8" t="s">
        <v>3099</v>
      </c>
      <c r="G453" s="6" t="s">
        <v>38</v>
      </c>
      <c r="H453" s="6" t="s">
        <v>359</v>
      </c>
      <c r="I453" s="8" t="s">
        <v>40</v>
      </c>
      <c r="J453" s="9">
        <v>1</v>
      </c>
      <c r="K453" s="9">
        <v>240</v>
      </c>
      <c r="L453" s="9">
        <v>2026</v>
      </c>
      <c r="M453" s="8" t="s">
        <v>3100</v>
      </c>
      <c r="N453" s="8" t="s">
        <v>56</v>
      </c>
      <c r="O453" s="8" t="s">
        <v>3101</v>
      </c>
      <c r="P453" s="6" t="s">
        <v>58</v>
      </c>
      <c r="Q453" s="8" t="s">
        <v>45</v>
      </c>
      <c r="R453" s="10" t="s">
        <v>108</v>
      </c>
      <c r="S453" s="11"/>
      <c r="T453" s="6"/>
      <c r="U453" s="24" t="str">
        <f>HYPERLINK("https://media.infra-m.ru/2224/2224925/cover/2224925.jpg", "Обложка")</f>
        <v>Обложка</v>
      </c>
      <c r="V453" s="24" t="str">
        <f>HYPERLINK("https://znanium.ru/catalog/product/972715", "Ознакомиться")</f>
        <v>Ознакомиться</v>
      </c>
      <c r="W453" s="8" t="s">
        <v>3102</v>
      </c>
      <c r="X453" s="6"/>
      <c r="Y453" s="6"/>
      <c r="Z453" s="6" t="s">
        <v>48</v>
      </c>
      <c r="AA453" s="6" t="s">
        <v>2953</v>
      </c>
      <c r="AB453" s="8"/>
    </row>
    <row r="454" spans="1:28" s="4" customFormat="1" ht="44.1" customHeight="1">
      <c r="A454" s="5">
        <v>0</v>
      </c>
      <c r="B454" s="6" t="s">
        <v>3103</v>
      </c>
      <c r="C454" s="7">
        <v>1044</v>
      </c>
      <c r="D454" s="8" t="s">
        <v>3104</v>
      </c>
      <c r="E454" s="8" t="s">
        <v>3105</v>
      </c>
      <c r="F454" s="8" t="s">
        <v>3106</v>
      </c>
      <c r="G454" s="6" t="s">
        <v>38</v>
      </c>
      <c r="H454" s="6" t="s">
        <v>54</v>
      </c>
      <c r="I454" s="8" t="s">
        <v>40</v>
      </c>
      <c r="J454" s="9">
        <v>1</v>
      </c>
      <c r="K454" s="9">
        <v>200</v>
      </c>
      <c r="L454" s="9">
        <v>2026</v>
      </c>
      <c r="M454" s="8" t="s">
        <v>3107</v>
      </c>
      <c r="N454" s="8" t="s">
        <v>125</v>
      </c>
      <c r="O454" s="8" t="s">
        <v>1630</v>
      </c>
      <c r="P454" s="6" t="s">
        <v>44</v>
      </c>
      <c r="Q454" s="8" t="s">
        <v>45</v>
      </c>
      <c r="R454" s="10" t="s">
        <v>3108</v>
      </c>
      <c r="S454" s="11"/>
      <c r="T454" s="6"/>
      <c r="U454" s="24" t="str">
        <f>HYPERLINK("https://media.infra-m.ru/2216/2216623/cover/2216623.jpg", "Обложка")</f>
        <v>Обложка</v>
      </c>
      <c r="V454" s="24" t="str">
        <f>HYPERLINK("https://znanium.ru/catalog/product/2169776", "Ознакомиться")</f>
        <v>Ознакомиться</v>
      </c>
      <c r="W454" s="8" t="s">
        <v>73</v>
      </c>
      <c r="X454" s="6"/>
      <c r="Y454" s="6"/>
      <c r="Z454" s="6" t="s">
        <v>48</v>
      </c>
      <c r="AA454" s="6" t="s">
        <v>84</v>
      </c>
      <c r="AB454" s="8"/>
    </row>
    <row r="455" spans="1:28" s="4" customFormat="1" ht="51.95" customHeight="1">
      <c r="A455" s="5">
        <v>0</v>
      </c>
      <c r="B455" s="6" t="s">
        <v>3109</v>
      </c>
      <c r="C455" s="7">
        <v>1414</v>
      </c>
      <c r="D455" s="8" t="s">
        <v>3110</v>
      </c>
      <c r="E455" s="8" t="s">
        <v>3111</v>
      </c>
      <c r="F455" s="8" t="s">
        <v>3112</v>
      </c>
      <c r="G455" s="6" t="s">
        <v>67</v>
      </c>
      <c r="H455" s="6" t="s">
        <v>39</v>
      </c>
      <c r="I455" s="8" t="s">
        <v>69</v>
      </c>
      <c r="J455" s="9">
        <v>1</v>
      </c>
      <c r="K455" s="9">
        <v>272</v>
      </c>
      <c r="L455" s="9">
        <v>2026</v>
      </c>
      <c r="M455" s="8" t="s">
        <v>3113</v>
      </c>
      <c r="N455" s="8" t="s">
        <v>125</v>
      </c>
      <c r="O455" s="8" t="s">
        <v>1630</v>
      </c>
      <c r="P455" s="6" t="s">
        <v>58</v>
      </c>
      <c r="Q455" s="8" t="s">
        <v>45</v>
      </c>
      <c r="R455" s="10" t="s">
        <v>3114</v>
      </c>
      <c r="S455" s="11" t="s">
        <v>3115</v>
      </c>
      <c r="T455" s="6"/>
      <c r="U455" s="24" t="str">
        <f>HYPERLINK("https://media.infra-m.ru/2216/2216931/cover/2216931.jpg", "Обложка")</f>
        <v>Обложка</v>
      </c>
      <c r="V455" s="24" t="str">
        <f>HYPERLINK("https://znanium.ru/catalog/product/1141794", "Ознакомиться")</f>
        <v>Ознакомиться</v>
      </c>
      <c r="W455" s="8" t="s">
        <v>73</v>
      </c>
      <c r="X455" s="6"/>
      <c r="Y455" s="6"/>
      <c r="Z455" s="6"/>
      <c r="AA455" s="6" t="s">
        <v>2008</v>
      </c>
      <c r="AB455" s="8"/>
    </row>
    <row r="456" spans="1:28" s="4" customFormat="1" ht="51.95" customHeight="1">
      <c r="A456" s="5">
        <v>0</v>
      </c>
      <c r="B456" s="6" t="s">
        <v>3116</v>
      </c>
      <c r="C456" s="7">
        <v>1924</v>
      </c>
      <c r="D456" s="8" t="s">
        <v>3117</v>
      </c>
      <c r="E456" s="8" t="s">
        <v>3111</v>
      </c>
      <c r="F456" s="8" t="s">
        <v>3118</v>
      </c>
      <c r="G456" s="6" t="s">
        <v>90</v>
      </c>
      <c r="H456" s="6" t="s">
        <v>299</v>
      </c>
      <c r="I456" s="8" t="s">
        <v>69</v>
      </c>
      <c r="J456" s="9">
        <v>1</v>
      </c>
      <c r="K456" s="9">
        <v>384</v>
      </c>
      <c r="L456" s="9">
        <v>2024</v>
      </c>
      <c r="M456" s="8" t="s">
        <v>3119</v>
      </c>
      <c r="N456" s="8" t="s">
        <v>125</v>
      </c>
      <c r="O456" s="8" t="s">
        <v>1630</v>
      </c>
      <c r="P456" s="6" t="s">
        <v>44</v>
      </c>
      <c r="Q456" s="8" t="s">
        <v>45</v>
      </c>
      <c r="R456" s="10" t="s">
        <v>3120</v>
      </c>
      <c r="S456" s="11" t="s">
        <v>3121</v>
      </c>
      <c r="T456" s="6"/>
      <c r="U456" s="24" t="str">
        <f>HYPERLINK("https://media.infra-m.ru/2157/2157337/cover/2157337.jpg", "Обложка")</f>
        <v>Обложка</v>
      </c>
      <c r="V456" s="24" t="str">
        <f>HYPERLINK("https://znanium.ru/catalog/product/1946209", "Ознакомиться")</f>
        <v>Ознакомиться</v>
      </c>
      <c r="W456" s="8" t="s">
        <v>82</v>
      </c>
      <c r="X456" s="6"/>
      <c r="Y456" s="6"/>
      <c r="Z456" s="6"/>
      <c r="AA456" s="6" t="s">
        <v>1331</v>
      </c>
      <c r="AB456" s="8"/>
    </row>
    <row r="457" spans="1:28" s="4" customFormat="1" ht="51.95" customHeight="1">
      <c r="A457" s="5">
        <v>0</v>
      </c>
      <c r="B457" s="6" t="s">
        <v>3122</v>
      </c>
      <c r="C457" s="7">
        <v>2560</v>
      </c>
      <c r="D457" s="8" t="s">
        <v>3123</v>
      </c>
      <c r="E457" s="8" t="s">
        <v>3124</v>
      </c>
      <c r="F457" s="8" t="s">
        <v>3125</v>
      </c>
      <c r="G457" s="6" t="s">
        <v>38</v>
      </c>
      <c r="H457" s="6" t="s">
        <v>54</v>
      </c>
      <c r="I457" s="8" t="s">
        <v>40</v>
      </c>
      <c r="J457" s="9">
        <v>1</v>
      </c>
      <c r="K457" s="9">
        <v>493</v>
      </c>
      <c r="L457" s="9">
        <v>2025</v>
      </c>
      <c r="M457" s="8" t="s">
        <v>3126</v>
      </c>
      <c r="N457" s="8" t="s">
        <v>125</v>
      </c>
      <c r="O457" s="8" t="s">
        <v>1630</v>
      </c>
      <c r="P457" s="6" t="s">
        <v>44</v>
      </c>
      <c r="Q457" s="8" t="s">
        <v>45</v>
      </c>
      <c r="R457" s="10" t="s">
        <v>3120</v>
      </c>
      <c r="S457" s="11"/>
      <c r="T457" s="6"/>
      <c r="U457" s="24" t="str">
        <f>HYPERLINK("https://media.infra-m.ru/1946/1946209/cover/1946209.jpg", "Обложка")</f>
        <v>Обложка</v>
      </c>
      <c r="V457" s="24" t="str">
        <f>HYPERLINK("https://znanium.ru/catalog/product/1946209", "Ознакомиться")</f>
        <v>Ознакомиться</v>
      </c>
      <c r="W457" s="8" t="s">
        <v>82</v>
      </c>
      <c r="X457" s="6"/>
      <c r="Y457" s="6"/>
      <c r="Z457" s="6"/>
      <c r="AA457" s="6" t="s">
        <v>368</v>
      </c>
      <c r="AB457" s="8"/>
    </row>
    <row r="458" spans="1:28" s="4" customFormat="1" ht="51.95" customHeight="1">
      <c r="A458" s="5">
        <v>0</v>
      </c>
      <c r="B458" s="6" t="s">
        <v>3127</v>
      </c>
      <c r="C458" s="13">
        <v>974.9</v>
      </c>
      <c r="D458" s="8" t="s">
        <v>3128</v>
      </c>
      <c r="E458" s="8" t="s">
        <v>3129</v>
      </c>
      <c r="F458" s="8" t="s">
        <v>3130</v>
      </c>
      <c r="G458" s="6" t="s">
        <v>90</v>
      </c>
      <c r="H458" s="6" t="s">
        <v>54</v>
      </c>
      <c r="I458" s="8" t="s">
        <v>40</v>
      </c>
      <c r="J458" s="9">
        <v>1</v>
      </c>
      <c r="K458" s="9">
        <v>217</v>
      </c>
      <c r="L458" s="9">
        <v>2023</v>
      </c>
      <c r="M458" s="8" t="s">
        <v>3131</v>
      </c>
      <c r="N458" s="8" t="s">
        <v>125</v>
      </c>
      <c r="O458" s="8" t="s">
        <v>1630</v>
      </c>
      <c r="P458" s="6" t="s">
        <v>44</v>
      </c>
      <c r="Q458" s="8" t="s">
        <v>45</v>
      </c>
      <c r="R458" s="10" t="s">
        <v>3114</v>
      </c>
      <c r="S458" s="11" t="s">
        <v>3132</v>
      </c>
      <c r="T458" s="6"/>
      <c r="U458" s="24" t="str">
        <f>HYPERLINK("https://media.infra-m.ru/1976/1976159/cover/1976159.jpg", "Обложка")</f>
        <v>Обложка</v>
      </c>
      <c r="V458" s="24" t="str">
        <f>HYPERLINK("https://znanium.ru/catalog/product/1018905", "Ознакомиться")</f>
        <v>Ознакомиться</v>
      </c>
      <c r="W458" s="8" t="s">
        <v>3133</v>
      </c>
      <c r="X458" s="6"/>
      <c r="Y458" s="6"/>
      <c r="Z458" s="6" t="s">
        <v>48</v>
      </c>
      <c r="AA458" s="6" t="s">
        <v>111</v>
      </c>
      <c r="AB458" s="8"/>
    </row>
    <row r="459" spans="1:28" s="4" customFormat="1" ht="51.95" customHeight="1">
      <c r="A459" s="5">
        <v>0</v>
      </c>
      <c r="B459" s="6" t="s">
        <v>3134</v>
      </c>
      <c r="C459" s="13">
        <v>314</v>
      </c>
      <c r="D459" s="8" t="s">
        <v>3135</v>
      </c>
      <c r="E459" s="8" t="s">
        <v>3136</v>
      </c>
      <c r="F459" s="8" t="s">
        <v>3137</v>
      </c>
      <c r="G459" s="6" t="s">
        <v>67</v>
      </c>
      <c r="H459" s="6" t="s">
        <v>54</v>
      </c>
      <c r="I459" s="8" t="s">
        <v>40</v>
      </c>
      <c r="J459" s="9">
        <v>1</v>
      </c>
      <c r="K459" s="9">
        <v>48</v>
      </c>
      <c r="L459" s="9">
        <v>2024</v>
      </c>
      <c r="M459" s="8" t="s">
        <v>3138</v>
      </c>
      <c r="N459" s="8" t="s">
        <v>1306</v>
      </c>
      <c r="O459" s="8" t="s">
        <v>1307</v>
      </c>
      <c r="P459" s="6" t="s">
        <v>1285</v>
      </c>
      <c r="Q459" s="8" t="s">
        <v>45</v>
      </c>
      <c r="R459" s="10" t="s">
        <v>2079</v>
      </c>
      <c r="S459" s="11" t="s">
        <v>3139</v>
      </c>
      <c r="T459" s="6"/>
      <c r="U459" s="24" t="str">
        <f>HYPERLINK("https://media.infra-m.ru/2168/2168271/cover/2168271.jpg", "Обложка")</f>
        <v>Обложка</v>
      </c>
      <c r="V459" s="24" t="str">
        <f>HYPERLINK("https://znanium.ru/catalog/product/2136983", "Ознакомиться")</f>
        <v>Ознакомиться</v>
      </c>
      <c r="W459" s="8" t="s">
        <v>3140</v>
      </c>
      <c r="X459" s="6"/>
      <c r="Y459" s="6"/>
      <c r="Z459" s="6" t="s">
        <v>48</v>
      </c>
      <c r="AA459" s="6" t="s">
        <v>740</v>
      </c>
      <c r="AB459" s="8"/>
    </row>
    <row r="460" spans="1:28" s="4" customFormat="1" ht="51.95" customHeight="1">
      <c r="A460" s="5">
        <v>0</v>
      </c>
      <c r="B460" s="6" t="s">
        <v>3141</v>
      </c>
      <c r="C460" s="13">
        <v>930</v>
      </c>
      <c r="D460" s="8" t="s">
        <v>3142</v>
      </c>
      <c r="E460" s="8" t="s">
        <v>3143</v>
      </c>
      <c r="F460" s="8" t="s">
        <v>3144</v>
      </c>
      <c r="G460" s="6" t="s">
        <v>67</v>
      </c>
      <c r="H460" s="6" t="s">
        <v>54</v>
      </c>
      <c r="I460" s="8" t="s">
        <v>40</v>
      </c>
      <c r="J460" s="9">
        <v>1</v>
      </c>
      <c r="K460" s="9">
        <v>180</v>
      </c>
      <c r="L460" s="9">
        <v>2025</v>
      </c>
      <c r="M460" s="8" t="s">
        <v>3145</v>
      </c>
      <c r="N460" s="8" t="s">
        <v>1306</v>
      </c>
      <c r="O460" s="8" t="s">
        <v>1307</v>
      </c>
      <c r="P460" s="6" t="s">
        <v>44</v>
      </c>
      <c r="Q460" s="8" t="s">
        <v>45</v>
      </c>
      <c r="R460" s="10" t="s">
        <v>2079</v>
      </c>
      <c r="S460" s="11" t="s">
        <v>3146</v>
      </c>
      <c r="T460" s="6"/>
      <c r="U460" s="24" t="str">
        <f>HYPERLINK("https://media.infra-m.ru/2179/2179076/cover/2179076.jpg", "Обложка")</f>
        <v>Обложка</v>
      </c>
      <c r="V460" s="24" t="str">
        <f>HYPERLINK("https://znanium.ru/catalog/product/2179076", "Ознакомиться")</f>
        <v>Ознакомиться</v>
      </c>
      <c r="W460" s="8" t="s">
        <v>3147</v>
      </c>
      <c r="X460" s="6"/>
      <c r="Y460" s="6"/>
      <c r="Z460" s="6" t="s">
        <v>207</v>
      </c>
      <c r="AA460" s="6" t="s">
        <v>223</v>
      </c>
      <c r="AB460" s="8"/>
    </row>
    <row r="461" spans="1:28" s="4" customFormat="1" ht="51.95" customHeight="1">
      <c r="A461" s="5">
        <v>0</v>
      </c>
      <c r="B461" s="6" t="s">
        <v>3148</v>
      </c>
      <c r="C461" s="7">
        <v>1570</v>
      </c>
      <c r="D461" s="8" t="s">
        <v>3149</v>
      </c>
      <c r="E461" s="8" t="s">
        <v>3150</v>
      </c>
      <c r="F461" s="8" t="s">
        <v>3151</v>
      </c>
      <c r="G461" s="6" t="s">
        <v>90</v>
      </c>
      <c r="H461" s="6" t="s">
        <v>54</v>
      </c>
      <c r="I461" s="8" t="s">
        <v>40</v>
      </c>
      <c r="J461" s="9">
        <v>1</v>
      </c>
      <c r="K461" s="9">
        <v>313</v>
      </c>
      <c r="L461" s="9">
        <v>2025</v>
      </c>
      <c r="M461" s="8" t="s">
        <v>3152</v>
      </c>
      <c r="N461" s="8" t="s">
        <v>1306</v>
      </c>
      <c r="O461" s="8" t="s">
        <v>1307</v>
      </c>
      <c r="P461" s="6" t="s">
        <v>58</v>
      </c>
      <c r="Q461" s="8" t="s">
        <v>45</v>
      </c>
      <c r="R461" s="10" t="s">
        <v>1949</v>
      </c>
      <c r="S461" s="11" t="s">
        <v>3153</v>
      </c>
      <c r="T461" s="6"/>
      <c r="U461" s="24" t="str">
        <f>HYPERLINK("https://media.infra-m.ru/1003/1003629/cover/1003629.jpg", "Обложка")</f>
        <v>Обложка</v>
      </c>
      <c r="V461" s="24" t="str">
        <f>HYPERLINK("https://znanium.ru/catalog/product/1003629", "Ознакомиться")</f>
        <v>Ознакомиться</v>
      </c>
      <c r="W461" s="8" t="s">
        <v>3147</v>
      </c>
      <c r="X461" s="6"/>
      <c r="Y461" s="6"/>
      <c r="Z461" s="6" t="s">
        <v>48</v>
      </c>
      <c r="AA461" s="6" t="s">
        <v>84</v>
      </c>
      <c r="AB461" s="8"/>
    </row>
    <row r="462" spans="1:28" s="4" customFormat="1" ht="51.95" customHeight="1">
      <c r="A462" s="5">
        <v>0</v>
      </c>
      <c r="B462" s="6" t="s">
        <v>3154</v>
      </c>
      <c r="C462" s="7">
        <v>1230</v>
      </c>
      <c r="D462" s="8" t="s">
        <v>3155</v>
      </c>
      <c r="E462" s="8" t="s">
        <v>3156</v>
      </c>
      <c r="F462" s="8" t="s">
        <v>3157</v>
      </c>
      <c r="G462" s="6" t="s">
        <v>90</v>
      </c>
      <c r="H462" s="6" t="s">
        <v>54</v>
      </c>
      <c r="I462" s="8" t="s">
        <v>1283</v>
      </c>
      <c r="J462" s="9">
        <v>1</v>
      </c>
      <c r="K462" s="9">
        <v>240</v>
      </c>
      <c r="L462" s="9">
        <v>2025</v>
      </c>
      <c r="M462" s="8" t="s">
        <v>3158</v>
      </c>
      <c r="N462" s="8" t="s">
        <v>42</v>
      </c>
      <c r="O462" s="8" t="s">
        <v>243</v>
      </c>
      <c r="P462" s="6" t="s">
        <v>1285</v>
      </c>
      <c r="Q462" s="8" t="s">
        <v>45</v>
      </c>
      <c r="R462" s="10" t="s">
        <v>3159</v>
      </c>
      <c r="S462" s="11" t="s">
        <v>3160</v>
      </c>
      <c r="T462" s="6"/>
      <c r="U462" s="24" t="str">
        <f>HYPERLINK("https://media.infra-m.ru/2185/2185373/cover/2185373.jpg", "Обложка")</f>
        <v>Обложка</v>
      </c>
      <c r="V462" s="24" t="str">
        <f>HYPERLINK("https://znanium.ru/catalog/product/2185373", "Ознакомиться")</f>
        <v>Ознакомиться</v>
      </c>
      <c r="W462" s="8" t="s">
        <v>1384</v>
      </c>
      <c r="X462" s="6"/>
      <c r="Y462" s="6"/>
      <c r="Z462" s="6" t="s">
        <v>929</v>
      </c>
      <c r="AA462" s="6" t="s">
        <v>223</v>
      </c>
      <c r="AB462" s="8"/>
    </row>
    <row r="463" spans="1:28" s="4" customFormat="1" ht="51.95" customHeight="1">
      <c r="A463" s="5">
        <v>0</v>
      </c>
      <c r="B463" s="6" t="s">
        <v>3161</v>
      </c>
      <c r="C463" s="7">
        <v>1674</v>
      </c>
      <c r="D463" s="8" t="s">
        <v>3162</v>
      </c>
      <c r="E463" s="8" t="s">
        <v>3163</v>
      </c>
      <c r="F463" s="8" t="s">
        <v>3157</v>
      </c>
      <c r="G463" s="6" t="s">
        <v>90</v>
      </c>
      <c r="H463" s="6" t="s">
        <v>54</v>
      </c>
      <c r="I463" s="8" t="s">
        <v>1283</v>
      </c>
      <c r="J463" s="9">
        <v>1</v>
      </c>
      <c r="K463" s="9">
        <v>304</v>
      </c>
      <c r="L463" s="9">
        <v>2026</v>
      </c>
      <c r="M463" s="8" t="s">
        <v>3164</v>
      </c>
      <c r="N463" s="8" t="s">
        <v>42</v>
      </c>
      <c r="O463" s="8" t="s">
        <v>243</v>
      </c>
      <c r="P463" s="6" t="s">
        <v>1285</v>
      </c>
      <c r="Q463" s="8" t="s">
        <v>45</v>
      </c>
      <c r="R463" s="10" t="s">
        <v>3165</v>
      </c>
      <c r="S463" s="11" t="s">
        <v>3160</v>
      </c>
      <c r="T463" s="6"/>
      <c r="U463" s="24" t="str">
        <f>HYPERLINK("https://media.infra-m.ru/2226/2226754/cover/2226754.jpg", "Обложка")</f>
        <v>Обложка</v>
      </c>
      <c r="V463" s="24" t="str">
        <f>HYPERLINK("https://znanium.ru/catalog/product/2037391", "Ознакомиться")</f>
        <v>Ознакомиться</v>
      </c>
      <c r="W463" s="8" t="s">
        <v>1384</v>
      </c>
      <c r="X463" s="6"/>
      <c r="Y463" s="6"/>
      <c r="Z463" s="6" t="s">
        <v>929</v>
      </c>
      <c r="AA463" s="6" t="s">
        <v>223</v>
      </c>
      <c r="AB463" s="8"/>
    </row>
    <row r="464" spans="1:28" s="4" customFormat="1" ht="42" customHeight="1">
      <c r="A464" s="5">
        <v>0</v>
      </c>
      <c r="B464" s="6" t="s">
        <v>3166</v>
      </c>
      <c r="C464" s="7">
        <v>1760</v>
      </c>
      <c r="D464" s="8" t="s">
        <v>3167</v>
      </c>
      <c r="E464" s="8" t="s">
        <v>3168</v>
      </c>
      <c r="F464" s="8" t="s">
        <v>3169</v>
      </c>
      <c r="G464" s="6" t="s">
        <v>90</v>
      </c>
      <c r="H464" s="6" t="s">
        <v>54</v>
      </c>
      <c r="I464" s="8" t="s">
        <v>40</v>
      </c>
      <c r="J464" s="9">
        <v>1</v>
      </c>
      <c r="K464" s="9">
        <v>352</v>
      </c>
      <c r="L464" s="9">
        <v>2025</v>
      </c>
      <c r="M464" s="8" t="s">
        <v>3170</v>
      </c>
      <c r="N464" s="8" t="s">
        <v>125</v>
      </c>
      <c r="O464" s="8" t="s">
        <v>126</v>
      </c>
      <c r="P464" s="6" t="s">
        <v>58</v>
      </c>
      <c r="Q464" s="8" t="s">
        <v>45</v>
      </c>
      <c r="R464" s="10" t="s">
        <v>3171</v>
      </c>
      <c r="S464" s="11"/>
      <c r="T464" s="6"/>
      <c r="U464" s="24" t="str">
        <f>HYPERLINK("https://media.infra-m.ru/2169/2169666/cover/2169666.jpg", "Обложка")</f>
        <v>Обложка</v>
      </c>
      <c r="V464" s="24" t="str">
        <f>HYPERLINK("https://znanium.ru/catalog/product/2169666", "Ознакомиться")</f>
        <v>Ознакомиться</v>
      </c>
      <c r="W464" s="8" t="s">
        <v>3172</v>
      </c>
      <c r="X464" s="6" t="s">
        <v>367</v>
      </c>
      <c r="Y464" s="6"/>
      <c r="Z464" s="6" t="s">
        <v>48</v>
      </c>
      <c r="AA464" s="6" t="s">
        <v>84</v>
      </c>
      <c r="AB464" s="8"/>
    </row>
    <row r="465" spans="1:28" s="4" customFormat="1" ht="51.95" customHeight="1">
      <c r="A465" s="5">
        <v>0</v>
      </c>
      <c r="B465" s="6" t="s">
        <v>3173</v>
      </c>
      <c r="C465" s="7">
        <v>1070</v>
      </c>
      <c r="D465" s="8" t="s">
        <v>3174</v>
      </c>
      <c r="E465" s="8" t="s">
        <v>3175</v>
      </c>
      <c r="F465" s="8" t="s">
        <v>3176</v>
      </c>
      <c r="G465" s="6" t="s">
        <v>90</v>
      </c>
      <c r="H465" s="6" t="s">
        <v>54</v>
      </c>
      <c r="I465" s="8" t="s">
        <v>40</v>
      </c>
      <c r="J465" s="9">
        <v>1</v>
      </c>
      <c r="K465" s="9">
        <v>214</v>
      </c>
      <c r="L465" s="9">
        <v>2025</v>
      </c>
      <c r="M465" s="8" t="s">
        <v>3177</v>
      </c>
      <c r="N465" s="8" t="s">
        <v>125</v>
      </c>
      <c r="O465" s="8" t="s">
        <v>126</v>
      </c>
      <c r="P465" s="6" t="s">
        <v>58</v>
      </c>
      <c r="Q465" s="8" t="s">
        <v>45</v>
      </c>
      <c r="R465" s="10" t="s">
        <v>1005</v>
      </c>
      <c r="S465" s="11" t="s">
        <v>1538</v>
      </c>
      <c r="T465" s="6"/>
      <c r="U465" s="24" t="str">
        <f>HYPERLINK("https://media.infra-m.ru/2071/2071639/cover/2071639.jpg", "Обложка")</f>
        <v>Обложка</v>
      </c>
      <c r="V465" s="24" t="str">
        <f>HYPERLINK("https://znanium.ru/catalog/product/2071639", "Ознакомиться")</f>
        <v>Ознакомиться</v>
      </c>
      <c r="W465" s="8"/>
      <c r="X465" s="6"/>
      <c r="Y465" s="6"/>
      <c r="Z465" s="6" t="s">
        <v>48</v>
      </c>
      <c r="AA465" s="6" t="s">
        <v>129</v>
      </c>
      <c r="AB465" s="8"/>
    </row>
    <row r="466" spans="1:28" s="4" customFormat="1" ht="51.95" customHeight="1">
      <c r="A466" s="5">
        <v>0</v>
      </c>
      <c r="B466" s="6" t="s">
        <v>3178</v>
      </c>
      <c r="C466" s="13">
        <v>900</v>
      </c>
      <c r="D466" s="8" t="s">
        <v>3179</v>
      </c>
      <c r="E466" s="8" t="s">
        <v>3180</v>
      </c>
      <c r="F466" s="8" t="s">
        <v>3181</v>
      </c>
      <c r="G466" s="6" t="s">
        <v>90</v>
      </c>
      <c r="H466" s="6" t="s">
        <v>54</v>
      </c>
      <c r="I466" s="8" t="s">
        <v>40</v>
      </c>
      <c r="J466" s="9">
        <v>1</v>
      </c>
      <c r="K466" s="9">
        <v>236</v>
      </c>
      <c r="L466" s="9">
        <v>2022</v>
      </c>
      <c r="M466" s="8" t="s">
        <v>3182</v>
      </c>
      <c r="N466" s="8" t="s">
        <v>125</v>
      </c>
      <c r="O466" s="8" t="s">
        <v>126</v>
      </c>
      <c r="P466" s="6" t="s">
        <v>44</v>
      </c>
      <c r="Q466" s="8" t="s">
        <v>45</v>
      </c>
      <c r="R466" s="10" t="s">
        <v>660</v>
      </c>
      <c r="S466" s="11" t="s">
        <v>3183</v>
      </c>
      <c r="T466" s="6"/>
      <c r="U466" s="24" t="str">
        <f>HYPERLINK("https://media.infra-m.ru/1855/1855778/cover/1855778.jpg", "Обложка")</f>
        <v>Обложка</v>
      </c>
      <c r="V466" s="24" t="str">
        <f>HYPERLINK("https://znanium.ru/catalog/product/1855778", "Ознакомиться")</f>
        <v>Ознакомиться</v>
      </c>
      <c r="W466" s="8" t="s">
        <v>94</v>
      </c>
      <c r="X466" s="6"/>
      <c r="Y466" s="6"/>
      <c r="Z466" s="6" t="s">
        <v>48</v>
      </c>
      <c r="AA466" s="6" t="s">
        <v>740</v>
      </c>
      <c r="AB466" s="8"/>
    </row>
    <row r="467" spans="1:28" s="4" customFormat="1" ht="51.95" customHeight="1">
      <c r="A467" s="5">
        <v>0</v>
      </c>
      <c r="B467" s="6" t="s">
        <v>3184</v>
      </c>
      <c r="C467" s="13">
        <v>680</v>
      </c>
      <c r="D467" s="8" t="s">
        <v>3185</v>
      </c>
      <c r="E467" s="8" t="s">
        <v>3186</v>
      </c>
      <c r="F467" s="8" t="s">
        <v>3187</v>
      </c>
      <c r="G467" s="6" t="s">
        <v>67</v>
      </c>
      <c r="H467" s="6" t="s">
        <v>39</v>
      </c>
      <c r="I467" s="8" t="s">
        <v>69</v>
      </c>
      <c r="J467" s="9">
        <v>1</v>
      </c>
      <c r="K467" s="9">
        <v>144</v>
      </c>
      <c r="L467" s="9">
        <v>2024</v>
      </c>
      <c r="M467" s="8" t="s">
        <v>3188</v>
      </c>
      <c r="N467" s="8" t="s">
        <v>125</v>
      </c>
      <c r="O467" s="8" t="s">
        <v>126</v>
      </c>
      <c r="P467" s="6" t="s">
        <v>44</v>
      </c>
      <c r="Q467" s="8" t="s">
        <v>45</v>
      </c>
      <c r="R467" s="10" t="s">
        <v>642</v>
      </c>
      <c r="S467" s="11" t="s">
        <v>1391</v>
      </c>
      <c r="T467" s="6"/>
      <c r="U467" s="24" t="str">
        <f>HYPERLINK("https://media.infra-m.ru/1853/1853642/cover/1853642.jpg", "Обложка")</f>
        <v>Обложка</v>
      </c>
      <c r="V467" s="24" t="str">
        <f>HYPERLINK("https://znanium.ru/catalog/product/1853642", "Ознакомиться")</f>
        <v>Ознакомиться</v>
      </c>
      <c r="W467" s="8" t="s">
        <v>1392</v>
      </c>
      <c r="X467" s="6"/>
      <c r="Y467" s="6"/>
      <c r="Z467" s="6"/>
      <c r="AA467" s="6" t="s">
        <v>2008</v>
      </c>
      <c r="AB467" s="8"/>
    </row>
    <row r="468" spans="1:28" s="4" customFormat="1" ht="51.95" customHeight="1">
      <c r="A468" s="5">
        <v>0</v>
      </c>
      <c r="B468" s="6" t="s">
        <v>3189</v>
      </c>
      <c r="C468" s="13">
        <v>804</v>
      </c>
      <c r="D468" s="8" t="s">
        <v>3190</v>
      </c>
      <c r="E468" s="8" t="s">
        <v>3191</v>
      </c>
      <c r="F468" s="8" t="s">
        <v>3192</v>
      </c>
      <c r="G468" s="6" t="s">
        <v>38</v>
      </c>
      <c r="H468" s="6" t="s">
        <v>134</v>
      </c>
      <c r="I468" s="8" t="s">
        <v>40</v>
      </c>
      <c r="J468" s="9">
        <v>1</v>
      </c>
      <c r="K468" s="9">
        <v>159</v>
      </c>
      <c r="L468" s="9">
        <v>2025</v>
      </c>
      <c r="M468" s="8" t="s">
        <v>3193</v>
      </c>
      <c r="N468" s="8" t="s">
        <v>125</v>
      </c>
      <c r="O468" s="8" t="s">
        <v>126</v>
      </c>
      <c r="P468" s="6" t="s">
        <v>44</v>
      </c>
      <c r="Q468" s="8" t="s">
        <v>45</v>
      </c>
      <c r="R468" s="10" t="s">
        <v>2515</v>
      </c>
      <c r="S468" s="11" t="s">
        <v>3194</v>
      </c>
      <c r="T468" s="6"/>
      <c r="U468" s="24" t="str">
        <f>HYPERLINK("https://media.infra-m.ru/2187/2187246/cover/2187246.jpg", "Обложка")</f>
        <v>Обложка</v>
      </c>
      <c r="V468" s="24" t="str">
        <f>HYPERLINK("https://znanium.ru/catalog/product/2183864", "Ознакомиться")</f>
        <v>Ознакомиться</v>
      </c>
      <c r="W468" s="8" t="s">
        <v>73</v>
      </c>
      <c r="X468" s="6"/>
      <c r="Y468" s="6"/>
      <c r="Z468" s="6" t="s">
        <v>207</v>
      </c>
      <c r="AA468" s="6" t="s">
        <v>500</v>
      </c>
      <c r="AB468" s="8"/>
    </row>
    <row r="469" spans="1:28" s="4" customFormat="1" ht="51.95" customHeight="1">
      <c r="A469" s="5">
        <v>0</v>
      </c>
      <c r="B469" s="6" t="s">
        <v>3195</v>
      </c>
      <c r="C469" s="7">
        <v>1124</v>
      </c>
      <c r="D469" s="8" t="s">
        <v>3196</v>
      </c>
      <c r="E469" s="8" t="s">
        <v>3197</v>
      </c>
      <c r="F469" s="8" t="s">
        <v>3198</v>
      </c>
      <c r="G469" s="6" t="s">
        <v>90</v>
      </c>
      <c r="H469" s="6" t="s">
        <v>39</v>
      </c>
      <c r="I469" s="8" t="s">
        <v>40</v>
      </c>
      <c r="J469" s="9">
        <v>1</v>
      </c>
      <c r="K469" s="9">
        <v>239</v>
      </c>
      <c r="L469" s="9">
        <v>2024</v>
      </c>
      <c r="M469" s="8" t="s">
        <v>3199</v>
      </c>
      <c r="N469" s="8" t="s">
        <v>125</v>
      </c>
      <c r="O469" s="8" t="s">
        <v>126</v>
      </c>
      <c r="P469" s="6" t="s">
        <v>44</v>
      </c>
      <c r="Q469" s="8" t="s">
        <v>45</v>
      </c>
      <c r="R469" s="10" t="s">
        <v>3200</v>
      </c>
      <c r="S469" s="11" t="s">
        <v>3201</v>
      </c>
      <c r="T469" s="6"/>
      <c r="U469" s="24" t="str">
        <f>HYPERLINK("https://media.infra-m.ru/2139/2139200/cover/2139200.jpg", "Обложка")</f>
        <v>Обложка</v>
      </c>
      <c r="V469" s="24" t="str">
        <f>HYPERLINK("https://znanium.ru/catalog/product/1371939", "Ознакомиться")</f>
        <v>Ознакомиться</v>
      </c>
      <c r="W469" s="8" t="s">
        <v>73</v>
      </c>
      <c r="X469" s="6"/>
      <c r="Y469" s="6"/>
      <c r="Z469" s="6"/>
      <c r="AA469" s="6" t="s">
        <v>253</v>
      </c>
      <c r="AB469" s="8"/>
    </row>
    <row r="470" spans="1:28" s="4" customFormat="1" ht="51.95" customHeight="1">
      <c r="A470" s="5">
        <v>0</v>
      </c>
      <c r="B470" s="6" t="s">
        <v>3202</v>
      </c>
      <c r="C470" s="7">
        <v>1834</v>
      </c>
      <c r="D470" s="8" t="s">
        <v>3203</v>
      </c>
      <c r="E470" s="8" t="s">
        <v>3204</v>
      </c>
      <c r="F470" s="8" t="s">
        <v>3205</v>
      </c>
      <c r="G470" s="6" t="s">
        <v>38</v>
      </c>
      <c r="H470" s="6" t="s">
        <v>299</v>
      </c>
      <c r="I470" s="8" t="s">
        <v>69</v>
      </c>
      <c r="J470" s="9">
        <v>1</v>
      </c>
      <c r="K470" s="9">
        <v>352</v>
      </c>
      <c r="L470" s="9">
        <v>2025</v>
      </c>
      <c r="M470" s="8" t="s">
        <v>3206</v>
      </c>
      <c r="N470" s="8" t="s">
        <v>125</v>
      </c>
      <c r="O470" s="8" t="s">
        <v>126</v>
      </c>
      <c r="P470" s="6" t="s">
        <v>44</v>
      </c>
      <c r="Q470" s="8" t="s">
        <v>45</v>
      </c>
      <c r="R470" s="10" t="s">
        <v>1005</v>
      </c>
      <c r="S470" s="11" t="s">
        <v>3207</v>
      </c>
      <c r="T470" s="6"/>
      <c r="U470" s="24" t="str">
        <f>HYPERLINK("https://media.infra-m.ru/2193/2193160/cover/2193160.jpg", "Обложка")</f>
        <v>Обложка</v>
      </c>
      <c r="V470" s="12"/>
      <c r="W470" s="8" t="s">
        <v>466</v>
      </c>
      <c r="X470" s="6"/>
      <c r="Y470" s="6"/>
      <c r="Z470" s="6"/>
      <c r="AA470" s="6" t="s">
        <v>278</v>
      </c>
      <c r="AB470" s="8"/>
    </row>
    <row r="471" spans="1:28" s="4" customFormat="1" ht="42" customHeight="1">
      <c r="A471" s="5">
        <v>0</v>
      </c>
      <c r="B471" s="6" t="s">
        <v>3208</v>
      </c>
      <c r="C471" s="7">
        <v>1080</v>
      </c>
      <c r="D471" s="8" t="s">
        <v>3209</v>
      </c>
      <c r="E471" s="8" t="s">
        <v>3210</v>
      </c>
      <c r="F471" s="8" t="s">
        <v>3211</v>
      </c>
      <c r="G471" s="6" t="s">
        <v>90</v>
      </c>
      <c r="H471" s="6" t="s">
        <v>68</v>
      </c>
      <c r="I471" s="8" t="s">
        <v>69</v>
      </c>
      <c r="J471" s="9">
        <v>1</v>
      </c>
      <c r="K471" s="9">
        <v>240</v>
      </c>
      <c r="L471" s="9">
        <v>2023</v>
      </c>
      <c r="M471" s="8" t="s">
        <v>3212</v>
      </c>
      <c r="N471" s="8" t="s">
        <v>125</v>
      </c>
      <c r="O471" s="8" t="s">
        <v>126</v>
      </c>
      <c r="P471" s="6" t="s">
        <v>58</v>
      </c>
      <c r="Q471" s="8" t="s">
        <v>45</v>
      </c>
      <c r="R471" s="10" t="s">
        <v>3213</v>
      </c>
      <c r="S471" s="11"/>
      <c r="T471" s="6"/>
      <c r="U471" s="24" t="str">
        <f>HYPERLINK("https://media.infra-m.ru/1976/1976161/cover/1976161.jpg", "Обложка")</f>
        <v>Обложка</v>
      </c>
      <c r="V471" s="12"/>
      <c r="W471" s="8" t="s">
        <v>3214</v>
      </c>
      <c r="X471" s="6"/>
      <c r="Y471" s="6"/>
      <c r="Z471" s="6" t="s">
        <v>48</v>
      </c>
      <c r="AA471" s="6" t="s">
        <v>111</v>
      </c>
      <c r="AB471" s="8"/>
    </row>
    <row r="472" spans="1:28" s="4" customFormat="1" ht="51.95" customHeight="1">
      <c r="A472" s="5">
        <v>0</v>
      </c>
      <c r="B472" s="6" t="s">
        <v>3215</v>
      </c>
      <c r="C472" s="7">
        <v>1314</v>
      </c>
      <c r="D472" s="8" t="s">
        <v>3216</v>
      </c>
      <c r="E472" s="8" t="s">
        <v>3217</v>
      </c>
      <c r="F472" s="8" t="s">
        <v>3218</v>
      </c>
      <c r="G472" s="6" t="s">
        <v>90</v>
      </c>
      <c r="H472" s="6" t="s">
        <v>39</v>
      </c>
      <c r="I472" s="8" t="s">
        <v>40</v>
      </c>
      <c r="J472" s="9">
        <v>1</v>
      </c>
      <c r="K472" s="9">
        <v>238</v>
      </c>
      <c r="L472" s="9">
        <v>2026</v>
      </c>
      <c r="M472" s="8" t="s">
        <v>3219</v>
      </c>
      <c r="N472" s="8" t="s">
        <v>125</v>
      </c>
      <c r="O472" s="8" t="s">
        <v>126</v>
      </c>
      <c r="P472" s="6" t="s">
        <v>44</v>
      </c>
      <c r="Q472" s="8" t="s">
        <v>45</v>
      </c>
      <c r="R472" s="10" t="s">
        <v>3200</v>
      </c>
      <c r="S472" s="11" t="s">
        <v>3220</v>
      </c>
      <c r="T472" s="6"/>
      <c r="U472" s="24" t="str">
        <f>HYPERLINK("https://media.infra-m.ru/2224/2224116/cover/2224116.jpg", "Обложка")</f>
        <v>Обложка</v>
      </c>
      <c r="V472" s="24" t="str">
        <f>HYPERLINK("https://znanium.ru/catalog/product/2198148", "Ознакомиться")</f>
        <v>Ознакомиться</v>
      </c>
      <c r="W472" s="8" t="s">
        <v>73</v>
      </c>
      <c r="X472" s="6"/>
      <c r="Y472" s="6"/>
      <c r="Z472" s="6"/>
      <c r="AA472" s="6" t="s">
        <v>891</v>
      </c>
      <c r="AB472" s="8"/>
    </row>
    <row r="473" spans="1:28" s="4" customFormat="1" ht="51.95" customHeight="1">
      <c r="A473" s="5">
        <v>0</v>
      </c>
      <c r="B473" s="6" t="s">
        <v>3221</v>
      </c>
      <c r="C473" s="7">
        <v>1470</v>
      </c>
      <c r="D473" s="8" t="s">
        <v>3222</v>
      </c>
      <c r="E473" s="8" t="s">
        <v>3223</v>
      </c>
      <c r="F473" s="8" t="s">
        <v>3224</v>
      </c>
      <c r="G473" s="6" t="s">
        <v>90</v>
      </c>
      <c r="H473" s="6" t="s">
        <v>54</v>
      </c>
      <c r="I473" s="8" t="s">
        <v>40</v>
      </c>
      <c r="J473" s="9">
        <v>1</v>
      </c>
      <c r="K473" s="9">
        <v>320</v>
      </c>
      <c r="L473" s="9">
        <v>2024</v>
      </c>
      <c r="M473" s="8" t="s">
        <v>3225</v>
      </c>
      <c r="N473" s="8" t="s">
        <v>125</v>
      </c>
      <c r="O473" s="8" t="s">
        <v>126</v>
      </c>
      <c r="P473" s="6" t="s">
        <v>44</v>
      </c>
      <c r="Q473" s="8" t="s">
        <v>45</v>
      </c>
      <c r="R473" s="10" t="s">
        <v>3226</v>
      </c>
      <c r="S473" s="11" t="s">
        <v>3227</v>
      </c>
      <c r="T473" s="6"/>
      <c r="U473" s="24" t="str">
        <f>HYPERLINK("https://media.infra-m.ru/2056/2056806/cover/2056806.jpg", "Обложка")</f>
        <v>Обложка</v>
      </c>
      <c r="V473" s="24" t="str">
        <f>HYPERLINK("https://znanium.ru/catalog/product/2056806", "Ознакомиться")</f>
        <v>Ознакомиться</v>
      </c>
      <c r="W473" s="8" t="s">
        <v>1392</v>
      </c>
      <c r="X473" s="6"/>
      <c r="Y473" s="6"/>
      <c r="Z473" s="6"/>
      <c r="AA473" s="6" t="s">
        <v>3228</v>
      </c>
      <c r="AB473" s="8"/>
    </row>
    <row r="474" spans="1:28" s="4" customFormat="1" ht="51.95" customHeight="1">
      <c r="A474" s="5">
        <v>0</v>
      </c>
      <c r="B474" s="6" t="s">
        <v>3229</v>
      </c>
      <c r="C474" s="7">
        <v>1624</v>
      </c>
      <c r="D474" s="8" t="s">
        <v>3230</v>
      </c>
      <c r="E474" s="8" t="s">
        <v>3210</v>
      </c>
      <c r="F474" s="8" t="s">
        <v>3231</v>
      </c>
      <c r="G474" s="6" t="s">
        <v>38</v>
      </c>
      <c r="H474" s="6" t="s">
        <v>39</v>
      </c>
      <c r="I474" s="8" t="s">
        <v>69</v>
      </c>
      <c r="J474" s="9">
        <v>1</v>
      </c>
      <c r="K474" s="9">
        <v>352</v>
      </c>
      <c r="L474" s="9">
        <v>2024</v>
      </c>
      <c r="M474" s="8" t="s">
        <v>3232</v>
      </c>
      <c r="N474" s="8" t="s">
        <v>125</v>
      </c>
      <c r="O474" s="8" t="s">
        <v>126</v>
      </c>
      <c r="P474" s="6" t="s">
        <v>44</v>
      </c>
      <c r="Q474" s="8" t="s">
        <v>45</v>
      </c>
      <c r="R474" s="10" t="s">
        <v>3200</v>
      </c>
      <c r="S474" s="11" t="s">
        <v>3233</v>
      </c>
      <c r="T474" s="6"/>
      <c r="U474" s="24" t="str">
        <f>HYPERLINK("https://media.infra-m.ru/2079/2079170/cover/2079170.jpg", "Обложка")</f>
        <v>Обложка</v>
      </c>
      <c r="V474" s="24" t="str">
        <f>HYPERLINK("https://znanium.ru/catalog/product/1072282", "Ознакомиться")</f>
        <v>Ознакомиться</v>
      </c>
      <c r="W474" s="8"/>
      <c r="X474" s="6"/>
      <c r="Y474" s="6"/>
      <c r="Z474" s="6"/>
      <c r="AA474" s="6" t="s">
        <v>181</v>
      </c>
      <c r="AB474" s="8"/>
    </row>
    <row r="475" spans="1:28" s="4" customFormat="1" ht="51.95" customHeight="1">
      <c r="A475" s="5">
        <v>0</v>
      </c>
      <c r="B475" s="6" t="s">
        <v>3234</v>
      </c>
      <c r="C475" s="13">
        <v>920</v>
      </c>
      <c r="D475" s="8" t="s">
        <v>3235</v>
      </c>
      <c r="E475" s="8" t="s">
        <v>3236</v>
      </c>
      <c r="F475" s="8" t="s">
        <v>3237</v>
      </c>
      <c r="G475" s="6" t="s">
        <v>90</v>
      </c>
      <c r="H475" s="6" t="s">
        <v>54</v>
      </c>
      <c r="I475" s="8" t="s">
        <v>40</v>
      </c>
      <c r="J475" s="9">
        <v>1</v>
      </c>
      <c r="K475" s="9">
        <v>199</v>
      </c>
      <c r="L475" s="9">
        <v>2023</v>
      </c>
      <c r="M475" s="8" t="s">
        <v>3238</v>
      </c>
      <c r="N475" s="8" t="s">
        <v>125</v>
      </c>
      <c r="O475" s="8" t="s">
        <v>126</v>
      </c>
      <c r="P475" s="6" t="s">
        <v>44</v>
      </c>
      <c r="Q475" s="8" t="s">
        <v>45</v>
      </c>
      <c r="R475" s="10" t="s">
        <v>3239</v>
      </c>
      <c r="S475" s="11" t="s">
        <v>3240</v>
      </c>
      <c r="T475" s="6"/>
      <c r="U475" s="24" t="str">
        <f>HYPERLINK("https://media.infra-m.ru/2067/2067373/cover/2067373.jpg", "Обложка")</f>
        <v>Обложка</v>
      </c>
      <c r="V475" s="24" t="str">
        <f>HYPERLINK("https://znanium.ru/catalog/product/2067373", "Ознакомиться")</f>
        <v>Ознакомиться</v>
      </c>
      <c r="W475" s="8" t="s">
        <v>3241</v>
      </c>
      <c r="X475" s="6"/>
      <c r="Y475" s="6"/>
      <c r="Z475" s="6" t="s">
        <v>48</v>
      </c>
      <c r="AA475" s="6" t="s">
        <v>3242</v>
      </c>
      <c r="AB475" s="8"/>
    </row>
    <row r="476" spans="1:28" s="4" customFormat="1" ht="51.95" customHeight="1">
      <c r="A476" s="5">
        <v>0</v>
      </c>
      <c r="B476" s="6" t="s">
        <v>3243</v>
      </c>
      <c r="C476" s="13">
        <v>760</v>
      </c>
      <c r="D476" s="8" t="s">
        <v>3244</v>
      </c>
      <c r="E476" s="8" t="s">
        <v>3210</v>
      </c>
      <c r="F476" s="8" t="s">
        <v>3237</v>
      </c>
      <c r="G476" s="6" t="s">
        <v>38</v>
      </c>
      <c r="H476" s="6" t="s">
        <v>54</v>
      </c>
      <c r="I476" s="8" t="s">
        <v>40</v>
      </c>
      <c r="J476" s="9">
        <v>1</v>
      </c>
      <c r="K476" s="9">
        <v>199</v>
      </c>
      <c r="L476" s="9">
        <v>2021</v>
      </c>
      <c r="M476" s="8" t="s">
        <v>3245</v>
      </c>
      <c r="N476" s="8" t="s">
        <v>125</v>
      </c>
      <c r="O476" s="8" t="s">
        <v>126</v>
      </c>
      <c r="P476" s="6" t="s">
        <v>44</v>
      </c>
      <c r="Q476" s="8" t="s">
        <v>45</v>
      </c>
      <c r="R476" s="10" t="s">
        <v>3239</v>
      </c>
      <c r="S476" s="11" t="s">
        <v>3240</v>
      </c>
      <c r="T476" s="6"/>
      <c r="U476" s="24" t="str">
        <f>HYPERLINK("https://media.infra-m.ru/1242/1242890/cover/1242890.jpg", "Обложка")</f>
        <v>Обложка</v>
      </c>
      <c r="V476" s="24" t="str">
        <f>HYPERLINK("https://znanium.ru/catalog/product/2067373", "Ознакомиться")</f>
        <v>Ознакомиться</v>
      </c>
      <c r="W476" s="8" t="s">
        <v>3241</v>
      </c>
      <c r="X476" s="6"/>
      <c r="Y476" s="6"/>
      <c r="Z476" s="6" t="s">
        <v>48</v>
      </c>
      <c r="AA476" s="6" t="s">
        <v>223</v>
      </c>
      <c r="AB476" s="8"/>
    </row>
    <row r="477" spans="1:28" s="4" customFormat="1" ht="51.95" customHeight="1">
      <c r="A477" s="5">
        <v>0</v>
      </c>
      <c r="B477" s="6" t="s">
        <v>3246</v>
      </c>
      <c r="C477" s="7">
        <v>1190</v>
      </c>
      <c r="D477" s="8" t="s">
        <v>3247</v>
      </c>
      <c r="E477" s="8" t="s">
        <v>3217</v>
      </c>
      <c r="F477" s="8" t="s">
        <v>3248</v>
      </c>
      <c r="G477" s="6" t="s">
        <v>90</v>
      </c>
      <c r="H477" s="6" t="s">
        <v>54</v>
      </c>
      <c r="I477" s="8" t="s">
        <v>40</v>
      </c>
      <c r="J477" s="9">
        <v>1</v>
      </c>
      <c r="K477" s="9">
        <v>233</v>
      </c>
      <c r="L477" s="9">
        <v>2025</v>
      </c>
      <c r="M477" s="8" t="s">
        <v>3249</v>
      </c>
      <c r="N477" s="8" t="s">
        <v>125</v>
      </c>
      <c r="O477" s="8" t="s">
        <v>126</v>
      </c>
      <c r="P477" s="6" t="s">
        <v>44</v>
      </c>
      <c r="Q477" s="8" t="s">
        <v>45</v>
      </c>
      <c r="R477" s="10" t="s">
        <v>3250</v>
      </c>
      <c r="S477" s="11"/>
      <c r="T477" s="6" t="s">
        <v>118</v>
      </c>
      <c r="U477" s="24" t="str">
        <f>HYPERLINK("https://media.infra-m.ru/2173/2173216/cover/2173216.jpg", "Обложка")</f>
        <v>Обложка</v>
      </c>
      <c r="V477" s="24" t="str">
        <f>HYPERLINK("https://znanium.ru/catalog/product/2173216", "Ознакомиться")</f>
        <v>Ознакомиться</v>
      </c>
      <c r="W477" s="8" t="s">
        <v>1310</v>
      </c>
      <c r="X477" s="6" t="s">
        <v>367</v>
      </c>
      <c r="Y477" s="6"/>
      <c r="Z477" s="6" t="s">
        <v>48</v>
      </c>
      <c r="AA477" s="6" t="s">
        <v>368</v>
      </c>
      <c r="AB477" s="8"/>
    </row>
    <row r="478" spans="1:28" s="4" customFormat="1" ht="51.95" customHeight="1">
      <c r="A478" s="5">
        <v>0</v>
      </c>
      <c r="B478" s="6" t="s">
        <v>3251</v>
      </c>
      <c r="C478" s="7">
        <v>1554</v>
      </c>
      <c r="D478" s="8" t="s">
        <v>3252</v>
      </c>
      <c r="E478" s="8" t="s">
        <v>3253</v>
      </c>
      <c r="F478" s="8" t="s">
        <v>3254</v>
      </c>
      <c r="G478" s="6" t="s">
        <v>67</v>
      </c>
      <c r="H478" s="6" t="s">
        <v>39</v>
      </c>
      <c r="I478" s="8" t="s">
        <v>69</v>
      </c>
      <c r="J478" s="9">
        <v>1</v>
      </c>
      <c r="K478" s="9">
        <v>336</v>
      </c>
      <c r="L478" s="9">
        <v>2024</v>
      </c>
      <c r="M478" s="8" t="s">
        <v>3255</v>
      </c>
      <c r="N478" s="8" t="s">
        <v>125</v>
      </c>
      <c r="O478" s="8" t="s">
        <v>126</v>
      </c>
      <c r="P478" s="6" t="s">
        <v>44</v>
      </c>
      <c r="Q478" s="8" t="s">
        <v>45</v>
      </c>
      <c r="R478" s="10" t="s">
        <v>3256</v>
      </c>
      <c r="S478" s="11" t="s">
        <v>3257</v>
      </c>
      <c r="T478" s="6"/>
      <c r="U478" s="24" t="str">
        <f>HYPERLINK("https://media.infra-m.ru/2058/2058763/cover/2058763.jpg", "Обложка")</f>
        <v>Обложка</v>
      </c>
      <c r="V478" s="24" t="str">
        <f>HYPERLINK("https://znanium.ru/catalog/product/1068858", "Ознакомиться")</f>
        <v>Ознакомиться</v>
      </c>
      <c r="W478" s="8" t="s">
        <v>1392</v>
      </c>
      <c r="X478" s="6"/>
      <c r="Y478" s="6"/>
      <c r="Z478" s="6"/>
      <c r="AA478" s="6" t="s">
        <v>191</v>
      </c>
      <c r="AB478" s="8"/>
    </row>
    <row r="479" spans="1:28" s="4" customFormat="1" ht="51.95" customHeight="1">
      <c r="A479" s="5">
        <v>0</v>
      </c>
      <c r="B479" s="6" t="s">
        <v>3258</v>
      </c>
      <c r="C479" s="7">
        <v>1060</v>
      </c>
      <c r="D479" s="8" t="s">
        <v>3259</v>
      </c>
      <c r="E479" s="8" t="s">
        <v>3260</v>
      </c>
      <c r="F479" s="8" t="s">
        <v>3261</v>
      </c>
      <c r="G479" s="6" t="s">
        <v>38</v>
      </c>
      <c r="H479" s="6" t="s">
        <v>54</v>
      </c>
      <c r="I479" s="8" t="s">
        <v>40</v>
      </c>
      <c r="J479" s="9">
        <v>1</v>
      </c>
      <c r="K479" s="9">
        <v>294</v>
      </c>
      <c r="L479" s="9">
        <v>2021</v>
      </c>
      <c r="M479" s="8" t="s">
        <v>3262</v>
      </c>
      <c r="N479" s="8" t="s">
        <v>125</v>
      </c>
      <c r="O479" s="8" t="s">
        <v>126</v>
      </c>
      <c r="P479" s="6" t="s">
        <v>58</v>
      </c>
      <c r="Q479" s="8" t="s">
        <v>45</v>
      </c>
      <c r="R479" s="10" t="s">
        <v>3263</v>
      </c>
      <c r="S479" s="11" t="s">
        <v>3264</v>
      </c>
      <c r="T479" s="6"/>
      <c r="U479" s="24" t="str">
        <f>HYPERLINK("https://media.infra-m.ru/1127/1127684/cover/1127684.jpg", "Обложка")</f>
        <v>Обложка</v>
      </c>
      <c r="V479" s="24" t="str">
        <f>HYPERLINK("https://znanium.ru/catalog/product/1127684", "Ознакомиться")</f>
        <v>Ознакомиться</v>
      </c>
      <c r="W479" s="8" t="s">
        <v>3172</v>
      </c>
      <c r="X479" s="6"/>
      <c r="Y479" s="6"/>
      <c r="Z479" s="6" t="s">
        <v>48</v>
      </c>
      <c r="AA479" s="6" t="s">
        <v>223</v>
      </c>
      <c r="AB479" s="8"/>
    </row>
    <row r="480" spans="1:28" s="4" customFormat="1" ht="51.95" customHeight="1">
      <c r="A480" s="5">
        <v>0</v>
      </c>
      <c r="B480" s="6" t="s">
        <v>3265</v>
      </c>
      <c r="C480" s="7">
        <v>1559</v>
      </c>
      <c r="D480" s="8" t="s">
        <v>3266</v>
      </c>
      <c r="E480" s="8" t="s">
        <v>3267</v>
      </c>
      <c r="F480" s="8" t="s">
        <v>3268</v>
      </c>
      <c r="G480" s="6" t="s">
        <v>90</v>
      </c>
      <c r="H480" s="6" t="s">
        <v>39</v>
      </c>
      <c r="I480" s="8" t="s">
        <v>40</v>
      </c>
      <c r="J480" s="9">
        <v>1</v>
      </c>
      <c r="K480" s="9">
        <v>223</v>
      </c>
      <c r="L480" s="9">
        <v>2025</v>
      </c>
      <c r="M480" s="8" t="s">
        <v>3269</v>
      </c>
      <c r="N480" s="8" t="s">
        <v>56</v>
      </c>
      <c r="O480" s="8" t="s">
        <v>807</v>
      </c>
      <c r="P480" s="6" t="s">
        <v>44</v>
      </c>
      <c r="Q480" s="8" t="s">
        <v>45</v>
      </c>
      <c r="R480" s="10" t="s">
        <v>3270</v>
      </c>
      <c r="S480" s="11" t="s">
        <v>3271</v>
      </c>
      <c r="T480" s="6"/>
      <c r="U480" s="24" t="str">
        <f>HYPERLINK("https://media.infra-m.ru/2184/2184933/cover/2184933.jpg", "Обложка")</f>
        <v>Обложка</v>
      </c>
      <c r="V480" s="24" t="str">
        <f>HYPERLINK("https://znanium.ru/catalog/product/2125931", "Ознакомиться")</f>
        <v>Ознакомиться</v>
      </c>
      <c r="W480" s="8" t="s">
        <v>47</v>
      </c>
      <c r="X480" s="6"/>
      <c r="Y480" s="6"/>
      <c r="Z480" s="6" t="s">
        <v>48</v>
      </c>
      <c r="AA480" s="6" t="s">
        <v>740</v>
      </c>
      <c r="AB480" s="8"/>
    </row>
    <row r="481" spans="1:28" s="4" customFormat="1" ht="51.95" customHeight="1">
      <c r="A481" s="5">
        <v>0</v>
      </c>
      <c r="B481" s="6" t="s">
        <v>3272</v>
      </c>
      <c r="C481" s="7">
        <v>1640</v>
      </c>
      <c r="D481" s="8" t="s">
        <v>3273</v>
      </c>
      <c r="E481" s="8" t="s">
        <v>3274</v>
      </c>
      <c r="F481" s="8" t="s">
        <v>3275</v>
      </c>
      <c r="G481" s="6" t="s">
        <v>90</v>
      </c>
      <c r="H481" s="6" t="s">
        <v>54</v>
      </c>
      <c r="I481" s="8" t="s">
        <v>40</v>
      </c>
      <c r="J481" s="9">
        <v>1</v>
      </c>
      <c r="K481" s="9">
        <v>316</v>
      </c>
      <c r="L481" s="9">
        <v>2026</v>
      </c>
      <c r="M481" s="8" t="s">
        <v>3276</v>
      </c>
      <c r="N481" s="8" t="s">
        <v>1306</v>
      </c>
      <c r="O481" s="8" t="s">
        <v>1307</v>
      </c>
      <c r="P481" s="6" t="s">
        <v>58</v>
      </c>
      <c r="Q481" s="8" t="s">
        <v>45</v>
      </c>
      <c r="R481" s="10" t="s">
        <v>3277</v>
      </c>
      <c r="S481" s="11" t="s">
        <v>3278</v>
      </c>
      <c r="T481" s="6"/>
      <c r="U481" s="24" t="str">
        <f>HYPERLINK("https://media.infra-m.ru/2215/2215351/cover/2215351.jpg", "Обложка")</f>
        <v>Обложка</v>
      </c>
      <c r="V481" s="24" t="str">
        <f>HYPERLINK("https://znanium.ru/catalog/product/2215351", "Ознакомиться")</f>
        <v>Ознакомиться</v>
      </c>
      <c r="W481" s="8" t="s">
        <v>3279</v>
      </c>
      <c r="X481" s="6"/>
      <c r="Y481" s="6"/>
      <c r="Z481" s="6"/>
      <c r="AA481" s="6" t="s">
        <v>223</v>
      </c>
      <c r="AB481" s="8"/>
    </row>
    <row r="482" spans="1:28" s="4" customFormat="1" ht="51.95" customHeight="1">
      <c r="A482" s="5">
        <v>0</v>
      </c>
      <c r="B482" s="6" t="s">
        <v>3280</v>
      </c>
      <c r="C482" s="13">
        <v>740</v>
      </c>
      <c r="D482" s="8" t="s">
        <v>3281</v>
      </c>
      <c r="E482" s="8" t="s">
        <v>3282</v>
      </c>
      <c r="F482" s="8" t="s">
        <v>3283</v>
      </c>
      <c r="G482" s="6" t="s">
        <v>67</v>
      </c>
      <c r="H482" s="6" t="s">
        <v>54</v>
      </c>
      <c r="I482" s="8" t="s">
        <v>40</v>
      </c>
      <c r="J482" s="9">
        <v>1</v>
      </c>
      <c r="K482" s="9">
        <v>136</v>
      </c>
      <c r="L482" s="9">
        <v>2025</v>
      </c>
      <c r="M482" s="8" t="s">
        <v>3284</v>
      </c>
      <c r="N482" s="8" t="s">
        <v>535</v>
      </c>
      <c r="O482" s="8" t="s">
        <v>856</v>
      </c>
      <c r="P482" s="6" t="s">
        <v>58</v>
      </c>
      <c r="Q482" s="8" t="s">
        <v>45</v>
      </c>
      <c r="R482" s="10" t="s">
        <v>3285</v>
      </c>
      <c r="S482" s="11" t="s">
        <v>3286</v>
      </c>
      <c r="T482" s="6"/>
      <c r="U482" s="24" t="str">
        <f>HYPERLINK("https://media.infra-m.ru/2184/2184921/cover/2184921.jpg", "Обложка")</f>
        <v>Обложка</v>
      </c>
      <c r="V482" s="24" t="str">
        <f>HYPERLINK("https://znanium.ru/catalog/product/2184921", "Ознакомиться")</f>
        <v>Ознакомиться</v>
      </c>
      <c r="W482" s="8" t="s">
        <v>1560</v>
      </c>
      <c r="X482" s="6"/>
      <c r="Y482" s="6" t="s">
        <v>30</v>
      </c>
      <c r="Z482" s="6"/>
      <c r="AA482" s="6" t="s">
        <v>2008</v>
      </c>
      <c r="AB482" s="8"/>
    </row>
    <row r="483" spans="1:28" s="4" customFormat="1" ht="51.95" customHeight="1">
      <c r="A483" s="5">
        <v>0</v>
      </c>
      <c r="B483" s="6" t="s">
        <v>3287</v>
      </c>
      <c r="C483" s="13">
        <v>754</v>
      </c>
      <c r="D483" s="8" t="s">
        <v>3288</v>
      </c>
      <c r="E483" s="8" t="s">
        <v>3289</v>
      </c>
      <c r="F483" s="8" t="s">
        <v>3290</v>
      </c>
      <c r="G483" s="6" t="s">
        <v>67</v>
      </c>
      <c r="H483" s="6" t="s">
        <v>39</v>
      </c>
      <c r="I483" s="8" t="s">
        <v>69</v>
      </c>
      <c r="J483" s="9">
        <v>1</v>
      </c>
      <c r="K483" s="9">
        <v>144</v>
      </c>
      <c r="L483" s="9">
        <v>2025</v>
      </c>
      <c r="M483" s="8" t="s">
        <v>3291</v>
      </c>
      <c r="N483" s="8" t="s">
        <v>535</v>
      </c>
      <c r="O483" s="8" t="s">
        <v>856</v>
      </c>
      <c r="P483" s="6" t="s">
        <v>44</v>
      </c>
      <c r="Q483" s="8" t="s">
        <v>45</v>
      </c>
      <c r="R483" s="10" t="s">
        <v>3292</v>
      </c>
      <c r="S483" s="11"/>
      <c r="T483" s="6"/>
      <c r="U483" s="24" t="str">
        <f>HYPERLINK("https://media.infra-m.ru/2187/2187034/cover/2187034.jpg", "Обложка")</f>
        <v>Обложка</v>
      </c>
      <c r="V483" s="24" t="str">
        <f>HYPERLINK("https://znanium.ru/catalog/product/1081982", "Ознакомиться")</f>
        <v>Ознакомиться</v>
      </c>
      <c r="W483" s="8" t="s">
        <v>3293</v>
      </c>
      <c r="X483" s="6"/>
      <c r="Y483" s="6"/>
      <c r="Z483" s="6"/>
      <c r="AA483" s="6" t="s">
        <v>1644</v>
      </c>
      <c r="AB483" s="8"/>
    </row>
    <row r="484" spans="1:28" s="4" customFormat="1" ht="51.95" customHeight="1">
      <c r="A484" s="5">
        <v>0</v>
      </c>
      <c r="B484" s="6" t="s">
        <v>3294</v>
      </c>
      <c r="C484" s="7">
        <v>1610</v>
      </c>
      <c r="D484" s="8" t="s">
        <v>3295</v>
      </c>
      <c r="E484" s="8" t="s">
        <v>3296</v>
      </c>
      <c r="F484" s="8" t="s">
        <v>3297</v>
      </c>
      <c r="G484" s="6" t="s">
        <v>90</v>
      </c>
      <c r="H484" s="6" t="s">
        <v>824</v>
      </c>
      <c r="I484" s="8" t="s">
        <v>40</v>
      </c>
      <c r="J484" s="9">
        <v>1</v>
      </c>
      <c r="K484" s="9">
        <v>304</v>
      </c>
      <c r="L484" s="9">
        <v>2026</v>
      </c>
      <c r="M484" s="8" t="s">
        <v>3298</v>
      </c>
      <c r="N484" s="8" t="s">
        <v>535</v>
      </c>
      <c r="O484" s="8" t="s">
        <v>856</v>
      </c>
      <c r="P484" s="6" t="s">
        <v>58</v>
      </c>
      <c r="Q484" s="8" t="s">
        <v>45</v>
      </c>
      <c r="R484" s="10" t="s">
        <v>3299</v>
      </c>
      <c r="S484" s="11"/>
      <c r="T484" s="6"/>
      <c r="U484" s="24" t="str">
        <f>HYPERLINK("https://media.infra-m.ru/2213/2213436/cover/2213436.jpg", "Обложка")</f>
        <v>Обложка</v>
      </c>
      <c r="V484" s="24" t="str">
        <f>HYPERLINK("https://znanium.ru/catalog/product/2213436", "Ознакомиться")</f>
        <v>Ознакомиться</v>
      </c>
      <c r="W484" s="8" t="s">
        <v>834</v>
      </c>
      <c r="X484" s="6"/>
      <c r="Y484" s="6" t="s">
        <v>30</v>
      </c>
      <c r="Z484" s="6"/>
      <c r="AA484" s="6" t="s">
        <v>766</v>
      </c>
      <c r="AB484" s="8"/>
    </row>
    <row r="485" spans="1:28" s="4" customFormat="1" ht="51.95" customHeight="1">
      <c r="A485" s="5">
        <v>0</v>
      </c>
      <c r="B485" s="6" t="s">
        <v>3300</v>
      </c>
      <c r="C485" s="7">
        <v>1914</v>
      </c>
      <c r="D485" s="8" t="s">
        <v>3301</v>
      </c>
      <c r="E485" s="8" t="s">
        <v>3302</v>
      </c>
      <c r="F485" s="8" t="s">
        <v>3297</v>
      </c>
      <c r="G485" s="6" t="s">
        <v>90</v>
      </c>
      <c r="H485" s="6" t="s">
        <v>824</v>
      </c>
      <c r="I485" s="8" t="s">
        <v>40</v>
      </c>
      <c r="J485" s="9">
        <v>1</v>
      </c>
      <c r="K485" s="9">
        <v>368</v>
      </c>
      <c r="L485" s="9">
        <v>2026</v>
      </c>
      <c r="M485" s="8" t="s">
        <v>3303</v>
      </c>
      <c r="N485" s="8" t="s">
        <v>535</v>
      </c>
      <c r="O485" s="8" t="s">
        <v>856</v>
      </c>
      <c r="P485" s="6" t="s">
        <v>58</v>
      </c>
      <c r="Q485" s="8" t="s">
        <v>45</v>
      </c>
      <c r="R485" s="10" t="s">
        <v>3304</v>
      </c>
      <c r="S485" s="11"/>
      <c r="T485" s="6"/>
      <c r="U485" s="24" t="str">
        <f>HYPERLINK("https://media.infra-m.ru/2213/2213437/cover/2213437.jpg", "Обложка")</f>
        <v>Обложка</v>
      </c>
      <c r="V485" s="24" t="str">
        <f>HYPERLINK("https://znanium.ru/catalog/product/2145214", "Ознакомиться")</f>
        <v>Ознакомиться</v>
      </c>
      <c r="W485" s="8" t="s">
        <v>834</v>
      </c>
      <c r="X485" s="6"/>
      <c r="Y485" s="6" t="s">
        <v>30</v>
      </c>
      <c r="Z485" s="6"/>
      <c r="AA485" s="6" t="s">
        <v>766</v>
      </c>
      <c r="AB485" s="8"/>
    </row>
    <row r="486" spans="1:28" s="4" customFormat="1" ht="51.95" customHeight="1">
      <c r="A486" s="5">
        <v>0</v>
      </c>
      <c r="B486" s="6" t="s">
        <v>3305</v>
      </c>
      <c r="C486" s="7">
        <v>2500</v>
      </c>
      <c r="D486" s="8" t="s">
        <v>3306</v>
      </c>
      <c r="E486" s="8" t="s">
        <v>3307</v>
      </c>
      <c r="F486" s="8" t="s">
        <v>3308</v>
      </c>
      <c r="G486" s="6" t="s">
        <v>38</v>
      </c>
      <c r="H486" s="6" t="s">
        <v>54</v>
      </c>
      <c r="I486" s="8" t="s">
        <v>40</v>
      </c>
      <c r="J486" s="9">
        <v>1</v>
      </c>
      <c r="K486" s="9">
        <v>544</v>
      </c>
      <c r="L486" s="9">
        <v>2024</v>
      </c>
      <c r="M486" s="8" t="s">
        <v>3309</v>
      </c>
      <c r="N486" s="8" t="s">
        <v>535</v>
      </c>
      <c r="O486" s="8" t="s">
        <v>856</v>
      </c>
      <c r="P486" s="6" t="s">
        <v>58</v>
      </c>
      <c r="Q486" s="8" t="s">
        <v>45</v>
      </c>
      <c r="R486" s="10" t="s">
        <v>3310</v>
      </c>
      <c r="S486" s="11" t="s">
        <v>3311</v>
      </c>
      <c r="T486" s="6"/>
      <c r="U486" s="24" t="str">
        <f>HYPERLINK("https://media.infra-m.ru/2132/2132236/cover/2132236.jpg", "Обложка")</f>
        <v>Обложка</v>
      </c>
      <c r="V486" s="24" t="str">
        <f>HYPERLINK("https://znanium.ru/catalog/product/2132236", "Ознакомиться")</f>
        <v>Ознакомиться</v>
      </c>
      <c r="W486" s="8" t="s">
        <v>1581</v>
      </c>
      <c r="X486" s="6"/>
      <c r="Y486" s="6" t="s">
        <v>30</v>
      </c>
      <c r="Z486" s="6"/>
      <c r="AA486" s="6" t="s">
        <v>1689</v>
      </c>
      <c r="AB486" s="8"/>
    </row>
    <row r="487" spans="1:28" s="4" customFormat="1" ht="51.95" customHeight="1">
      <c r="A487" s="5">
        <v>0</v>
      </c>
      <c r="B487" s="6" t="s">
        <v>3312</v>
      </c>
      <c r="C487" s="7">
        <v>1814</v>
      </c>
      <c r="D487" s="8" t="s">
        <v>3313</v>
      </c>
      <c r="E487" s="8" t="s">
        <v>3314</v>
      </c>
      <c r="F487" s="8" t="s">
        <v>3315</v>
      </c>
      <c r="G487" s="6" t="s">
        <v>38</v>
      </c>
      <c r="H487" s="6" t="s">
        <v>54</v>
      </c>
      <c r="I487" s="8" t="s">
        <v>40</v>
      </c>
      <c r="J487" s="9">
        <v>1</v>
      </c>
      <c r="K487" s="9">
        <v>349</v>
      </c>
      <c r="L487" s="9">
        <v>2025</v>
      </c>
      <c r="M487" s="8" t="s">
        <v>3316</v>
      </c>
      <c r="N487" s="8" t="s">
        <v>535</v>
      </c>
      <c r="O487" s="8" t="s">
        <v>856</v>
      </c>
      <c r="P487" s="6" t="s">
        <v>58</v>
      </c>
      <c r="Q487" s="8" t="s">
        <v>45</v>
      </c>
      <c r="R487" s="10" t="s">
        <v>3317</v>
      </c>
      <c r="S487" s="11" t="s">
        <v>3318</v>
      </c>
      <c r="T487" s="6"/>
      <c r="U487" s="24" t="str">
        <f>HYPERLINK("https://media.infra-m.ru/2199/2199958/cover/2199958.jpg", "Обложка")</f>
        <v>Обложка</v>
      </c>
      <c r="V487" s="24" t="str">
        <f>HYPERLINK("https://znanium.ru/catalog/product/2085068", "Ознакомиться")</f>
        <v>Ознакомиться</v>
      </c>
      <c r="W487" s="8" t="s">
        <v>868</v>
      </c>
      <c r="X487" s="6"/>
      <c r="Y487" s="6"/>
      <c r="Z487" s="6"/>
      <c r="AA487" s="6" t="s">
        <v>500</v>
      </c>
      <c r="AB487" s="8"/>
    </row>
    <row r="488" spans="1:28" s="4" customFormat="1" ht="51.95" customHeight="1">
      <c r="A488" s="5">
        <v>0</v>
      </c>
      <c r="B488" s="6" t="s">
        <v>3319</v>
      </c>
      <c r="C488" s="13">
        <v>960</v>
      </c>
      <c r="D488" s="8" t="s">
        <v>3320</v>
      </c>
      <c r="E488" s="8" t="s">
        <v>3314</v>
      </c>
      <c r="F488" s="8" t="s">
        <v>3321</v>
      </c>
      <c r="G488" s="6" t="s">
        <v>90</v>
      </c>
      <c r="H488" s="6" t="s">
        <v>54</v>
      </c>
      <c r="I488" s="8" t="s">
        <v>40</v>
      </c>
      <c r="J488" s="9">
        <v>1</v>
      </c>
      <c r="K488" s="9">
        <v>204</v>
      </c>
      <c r="L488" s="9">
        <v>2024</v>
      </c>
      <c r="M488" s="8" t="s">
        <v>3322</v>
      </c>
      <c r="N488" s="8" t="s">
        <v>535</v>
      </c>
      <c r="O488" s="8" t="s">
        <v>856</v>
      </c>
      <c r="P488" s="6" t="s">
        <v>58</v>
      </c>
      <c r="Q488" s="8" t="s">
        <v>45</v>
      </c>
      <c r="R488" s="10" t="s">
        <v>3323</v>
      </c>
      <c r="S488" s="11" t="s">
        <v>3324</v>
      </c>
      <c r="T488" s="6"/>
      <c r="U488" s="24" t="str">
        <f>HYPERLINK("https://media.infra-m.ru/2136/2136718/cover/2136718.jpg", "Обложка")</f>
        <v>Обложка</v>
      </c>
      <c r="V488" s="24" t="str">
        <f>HYPERLINK("https://znanium.ru/catalog/product/2136718", "Ознакомиться")</f>
        <v>Ознакомиться</v>
      </c>
      <c r="W488" s="8" t="s">
        <v>739</v>
      </c>
      <c r="X488" s="6"/>
      <c r="Y488" s="6" t="s">
        <v>30</v>
      </c>
      <c r="Z488" s="6"/>
      <c r="AA488" s="6" t="s">
        <v>223</v>
      </c>
      <c r="AB488" s="8" t="s">
        <v>401</v>
      </c>
    </row>
    <row r="489" spans="1:28" s="4" customFormat="1" ht="51.95" customHeight="1">
      <c r="A489" s="5">
        <v>0</v>
      </c>
      <c r="B489" s="6" t="s">
        <v>3325</v>
      </c>
      <c r="C489" s="13">
        <v>799.9</v>
      </c>
      <c r="D489" s="8" t="s">
        <v>3326</v>
      </c>
      <c r="E489" s="8" t="s">
        <v>3314</v>
      </c>
      <c r="F489" s="8" t="s">
        <v>3327</v>
      </c>
      <c r="G489" s="6" t="s">
        <v>38</v>
      </c>
      <c r="H489" s="6" t="s">
        <v>54</v>
      </c>
      <c r="I489" s="8" t="s">
        <v>40</v>
      </c>
      <c r="J489" s="9">
        <v>1</v>
      </c>
      <c r="K489" s="9">
        <v>238</v>
      </c>
      <c r="L489" s="9">
        <v>2019</v>
      </c>
      <c r="M489" s="8" t="s">
        <v>3328</v>
      </c>
      <c r="N489" s="8" t="s">
        <v>535</v>
      </c>
      <c r="O489" s="8" t="s">
        <v>856</v>
      </c>
      <c r="P489" s="6" t="s">
        <v>44</v>
      </c>
      <c r="Q489" s="8" t="s">
        <v>45</v>
      </c>
      <c r="R489" s="10" t="s">
        <v>3329</v>
      </c>
      <c r="S489" s="11" t="s">
        <v>3330</v>
      </c>
      <c r="T489" s="6"/>
      <c r="U489" s="24" t="str">
        <f>HYPERLINK("https://media.infra-m.ru/2081/2081755/cover/2081755.jpg", "Обложка")</f>
        <v>Обложка</v>
      </c>
      <c r="V489" s="24" t="str">
        <f>HYPERLINK("https://znanium.ru/catalog/product/1127760", "Ознакомиться")</f>
        <v>Ознакомиться</v>
      </c>
      <c r="W489" s="8" t="s">
        <v>3331</v>
      </c>
      <c r="X489" s="6"/>
      <c r="Y489" s="6"/>
      <c r="Z489" s="6"/>
      <c r="AA489" s="6" t="s">
        <v>111</v>
      </c>
      <c r="AB489" s="8"/>
    </row>
    <row r="490" spans="1:28" s="4" customFormat="1" ht="51.95" customHeight="1">
      <c r="A490" s="5">
        <v>0</v>
      </c>
      <c r="B490" s="6" t="s">
        <v>3332</v>
      </c>
      <c r="C490" s="7">
        <v>1800</v>
      </c>
      <c r="D490" s="8" t="s">
        <v>3333</v>
      </c>
      <c r="E490" s="8" t="s">
        <v>3334</v>
      </c>
      <c r="F490" s="8" t="s">
        <v>3335</v>
      </c>
      <c r="G490" s="6" t="s">
        <v>90</v>
      </c>
      <c r="H490" s="6" t="s">
        <v>54</v>
      </c>
      <c r="I490" s="8" t="s">
        <v>40</v>
      </c>
      <c r="J490" s="9">
        <v>1</v>
      </c>
      <c r="K490" s="9">
        <v>399</v>
      </c>
      <c r="L490" s="9">
        <v>2023</v>
      </c>
      <c r="M490" s="8" t="s">
        <v>3336</v>
      </c>
      <c r="N490" s="8" t="s">
        <v>535</v>
      </c>
      <c r="O490" s="8" t="s">
        <v>856</v>
      </c>
      <c r="P490" s="6" t="s">
        <v>44</v>
      </c>
      <c r="Q490" s="8" t="s">
        <v>45</v>
      </c>
      <c r="R490" s="10" t="s">
        <v>3337</v>
      </c>
      <c r="S490" s="11" t="s">
        <v>3338</v>
      </c>
      <c r="T490" s="6" t="s">
        <v>118</v>
      </c>
      <c r="U490" s="24" t="str">
        <f>HYPERLINK("https://media.infra-m.ru/1960/1960027/cover/1960027.jpg", "Обложка")</f>
        <v>Обложка</v>
      </c>
      <c r="V490" s="24" t="str">
        <f>HYPERLINK("https://znanium.ru/catalog/product/1960027", "Ознакомиться")</f>
        <v>Ознакомиться</v>
      </c>
      <c r="W490" s="8" t="s">
        <v>1339</v>
      </c>
      <c r="X490" s="6"/>
      <c r="Y490" s="6"/>
      <c r="Z490" s="6" t="s">
        <v>48</v>
      </c>
      <c r="AA490" s="6" t="s">
        <v>740</v>
      </c>
      <c r="AB490" s="8"/>
    </row>
    <row r="491" spans="1:28" s="4" customFormat="1" ht="51.95" customHeight="1">
      <c r="A491" s="5">
        <v>0</v>
      </c>
      <c r="B491" s="6" t="s">
        <v>3339</v>
      </c>
      <c r="C491" s="7">
        <v>1204</v>
      </c>
      <c r="D491" s="8" t="s">
        <v>3340</v>
      </c>
      <c r="E491" s="8" t="s">
        <v>3341</v>
      </c>
      <c r="F491" s="8" t="s">
        <v>3342</v>
      </c>
      <c r="G491" s="6" t="s">
        <v>90</v>
      </c>
      <c r="H491" s="6" t="s">
        <v>299</v>
      </c>
      <c r="I491" s="8" t="s">
        <v>69</v>
      </c>
      <c r="J491" s="9">
        <v>1</v>
      </c>
      <c r="K491" s="9">
        <v>240</v>
      </c>
      <c r="L491" s="9">
        <v>2025</v>
      </c>
      <c r="M491" s="8" t="s">
        <v>3343</v>
      </c>
      <c r="N491" s="8" t="s">
        <v>535</v>
      </c>
      <c r="O491" s="8" t="s">
        <v>856</v>
      </c>
      <c r="P491" s="6" t="s">
        <v>58</v>
      </c>
      <c r="Q491" s="8" t="s">
        <v>45</v>
      </c>
      <c r="R491" s="10" t="s">
        <v>3344</v>
      </c>
      <c r="S491" s="11" t="s">
        <v>3345</v>
      </c>
      <c r="T491" s="6"/>
      <c r="U491" s="24" t="str">
        <f>HYPERLINK("https://media.infra-m.ru/2185/2185913/cover/2185913.jpg", "Обложка")</f>
        <v>Обложка</v>
      </c>
      <c r="V491" s="24" t="str">
        <f>HYPERLINK("https://znanium.ru/catalog/product/1896458", "Ознакомиться")</f>
        <v>Ознакомиться</v>
      </c>
      <c r="W491" s="8" t="s">
        <v>2309</v>
      </c>
      <c r="X491" s="6"/>
      <c r="Y491" s="6"/>
      <c r="Z491" s="6"/>
      <c r="AA491" s="6" t="s">
        <v>810</v>
      </c>
      <c r="AB491" s="8"/>
    </row>
    <row r="492" spans="1:28" s="4" customFormat="1" ht="51.95" customHeight="1">
      <c r="A492" s="5">
        <v>0</v>
      </c>
      <c r="B492" s="6" t="s">
        <v>3346</v>
      </c>
      <c r="C492" s="13">
        <v>944</v>
      </c>
      <c r="D492" s="8" t="s">
        <v>3347</v>
      </c>
      <c r="E492" s="8" t="s">
        <v>3348</v>
      </c>
      <c r="F492" s="8" t="s">
        <v>3349</v>
      </c>
      <c r="G492" s="6" t="s">
        <v>90</v>
      </c>
      <c r="H492" s="6" t="s">
        <v>54</v>
      </c>
      <c r="I492" s="8" t="s">
        <v>40</v>
      </c>
      <c r="J492" s="9">
        <v>1</v>
      </c>
      <c r="K492" s="9">
        <v>181</v>
      </c>
      <c r="L492" s="9">
        <v>2025</v>
      </c>
      <c r="M492" s="8" t="s">
        <v>3350</v>
      </c>
      <c r="N492" s="8" t="s">
        <v>535</v>
      </c>
      <c r="O492" s="8" t="s">
        <v>856</v>
      </c>
      <c r="P492" s="6" t="s">
        <v>44</v>
      </c>
      <c r="Q492" s="8" t="s">
        <v>45</v>
      </c>
      <c r="R492" s="10" t="s">
        <v>3351</v>
      </c>
      <c r="S492" s="11" t="s">
        <v>3352</v>
      </c>
      <c r="T492" s="6"/>
      <c r="U492" s="24" t="str">
        <f>HYPERLINK("https://media.infra-m.ru/2198/2198260/cover/2198260.jpg", "Обложка")</f>
        <v>Обложка</v>
      </c>
      <c r="V492" s="24" t="str">
        <f>HYPERLINK("https://znanium.ru/catalog/product/1412835", "Ознакомиться")</f>
        <v>Ознакомиться</v>
      </c>
      <c r="W492" s="8" t="s">
        <v>3353</v>
      </c>
      <c r="X492" s="6"/>
      <c r="Y492" s="6"/>
      <c r="Z492" s="6" t="s">
        <v>1260</v>
      </c>
      <c r="AA492" s="6" t="s">
        <v>740</v>
      </c>
      <c r="AB492" s="8"/>
    </row>
    <row r="493" spans="1:28" s="4" customFormat="1" ht="51.95" customHeight="1">
      <c r="A493" s="5">
        <v>0</v>
      </c>
      <c r="B493" s="6" t="s">
        <v>3354</v>
      </c>
      <c r="C493" s="7">
        <v>1990</v>
      </c>
      <c r="D493" s="8" t="s">
        <v>3355</v>
      </c>
      <c r="E493" s="8" t="s">
        <v>3356</v>
      </c>
      <c r="F493" s="8" t="s">
        <v>3357</v>
      </c>
      <c r="G493" s="6" t="s">
        <v>90</v>
      </c>
      <c r="H493" s="6" t="s">
        <v>134</v>
      </c>
      <c r="I493" s="8" t="s">
        <v>40</v>
      </c>
      <c r="J493" s="9">
        <v>1</v>
      </c>
      <c r="K493" s="9">
        <v>395</v>
      </c>
      <c r="L493" s="9">
        <v>2025</v>
      </c>
      <c r="M493" s="8" t="s">
        <v>3358</v>
      </c>
      <c r="N493" s="8" t="s">
        <v>56</v>
      </c>
      <c r="O493" s="8" t="s">
        <v>807</v>
      </c>
      <c r="P493" s="6" t="s">
        <v>58</v>
      </c>
      <c r="Q493" s="8" t="s">
        <v>45</v>
      </c>
      <c r="R493" s="10" t="s">
        <v>3359</v>
      </c>
      <c r="S493" s="11" t="s">
        <v>3360</v>
      </c>
      <c r="T493" s="6"/>
      <c r="U493" s="24" t="str">
        <f>HYPERLINK("https://media.infra-m.ru/2161/2161909/cover/2161909.jpg", "Обложка")</f>
        <v>Обложка</v>
      </c>
      <c r="V493" s="24" t="str">
        <f>HYPERLINK("https://znanium.ru/catalog/product/2161909", "Ознакомиться")</f>
        <v>Ознакомиться</v>
      </c>
      <c r="W493" s="8" t="s">
        <v>593</v>
      </c>
      <c r="X493" s="6"/>
      <c r="Y493" s="6"/>
      <c r="Z493" s="6" t="s">
        <v>48</v>
      </c>
      <c r="AA493" s="6" t="s">
        <v>111</v>
      </c>
      <c r="AB493" s="8"/>
    </row>
    <row r="494" spans="1:28" s="4" customFormat="1" ht="51.95" customHeight="1">
      <c r="A494" s="5">
        <v>0</v>
      </c>
      <c r="B494" s="6" t="s">
        <v>3361</v>
      </c>
      <c r="C494" s="7">
        <v>2284</v>
      </c>
      <c r="D494" s="8" t="s">
        <v>3362</v>
      </c>
      <c r="E494" s="8" t="s">
        <v>3363</v>
      </c>
      <c r="F494" s="8" t="s">
        <v>3364</v>
      </c>
      <c r="G494" s="6" t="s">
        <v>90</v>
      </c>
      <c r="H494" s="6" t="s">
        <v>54</v>
      </c>
      <c r="I494" s="8" t="s">
        <v>40</v>
      </c>
      <c r="J494" s="9">
        <v>1</v>
      </c>
      <c r="K494" s="9">
        <v>432</v>
      </c>
      <c r="L494" s="9">
        <v>2026</v>
      </c>
      <c r="M494" s="8" t="s">
        <v>3365</v>
      </c>
      <c r="N494" s="8" t="s">
        <v>42</v>
      </c>
      <c r="O494" s="8" t="s">
        <v>169</v>
      </c>
      <c r="P494" s="6" t="s">
        <v>44</v>
      </c>
      <c r="Q494" s="8" t="s">
        <v>45</v>
      </c>
      <c r="R494" s="10" t="s">
        <v>3366</v>
      </c>
      <c r="S494" s="11" t="s">
        <v>3367</v>
      </c>
      <c r="T494" s="6" t="s">
        <v>118</v>
      </c>
      <c r="U494" s="24" t="str">
        <f>HYPERLINK("https://media.infra-m.ru/2216/2216933/cover/2216933.jpg", "Обложка")</f>
        <v>Обложка</v>
      </c>
      <c r="V494" s="24" t="str">
        <f>HYPERLINK("https://znanium.ru/catalog/product/2143539", "Ознакомиться")</f>
        <v>Ознакомиться</v>
      </c>
      <c r="W494" s="8"/>
      <c r="X494" s="6"/>
      <c r="Y494" s="6"/>
      <c r="Z494" s="6" t="s">
        <v>48</v>
      </c>
      <c r="AA494" s="6" t="s">
        <v>129</v>
      </c>
      <c r="AB494" s="8"/>
    </row>
    <row r="495" spans="1:28" s="4" customFormat="1" ht="51.95" customHeight="1">
      <c r="A495" s="5">
        <v>0</v>
      </c>
      <c r="B495" s="6" t="s">
        <v>3368</v>
      </c>
      <c r="C495" s="7">
        <v>2267</v>
      </c>
      <c r="D495" s="8" t="s">
        <v>3369</v>
      </c>
      <c r="E495" s="8" t="s">
        <v>3370</v>
      </c>
      <c r="F495" s="8" t="s">
        <v>3371</v>
      </c>
      <c r="G495" s="6" t="s">
        <v>90</v>
      </c>
      <c r="H495" s="6" t="s">
        <v>39</v>
      </c>
      <c r="I495" s="8" t="s">
        <v>69</v>
      </c>
      <c r="J495" s="9">
        <v>1</v>
      </c>
      <c r="K495" s="9">
        <v>335</v>
      </c>
      <c r="L495" s="9">
        <v>2026</v>
      </c>
      <c r="M495" s="8" t="s">
        <v>3372</v>
      </c>
      <c r="N495" s="8" t="s">
        <v>42</v>
      </c>
      <c r="O495" s="8" t="s">
        <v>1370</v>
      </c>
      <c r="P495" s="6" t="s">
        <v>44</v>
      </c>
      <c r="Q495" s="8" t="s">
        <v>45</v>
      </c>
      <c r="R495" s="10" t="s">
        <v>3373</v>
      </c>
      <c r="S495" s="11" t="s">
        <v>276</v>
      </c>
      <c r="T495" s="6"/>
      <c r="U495" s="24" t="str">
        <f>HYPERLINK("https://media.infra-m.ru/2215/2215738/cover/2215738.jpg", "Обложка")</f>
        <v>Обложка</v>
      </c>
      <c r="V495" s="24" t="str">
        <f>HYPERLINK("https://znanium.ru/catalog/product/2163041", "Ознакомиться")</f>
        <v>Ознакомиться</v>
      </c>
      <c r="W495" s="8" t="s">
        <v>1317</v>
      </c>
      <c r="X495" s="6"/>
      <c r="Y495" s="6" t="s">
        <v>30</v>
      </c>
      <c r="Z495" s="6"/>
      <c r="AA495" s="6" t="s">
        <v>253</v>
      </c>
      <c r="AB495" s="8"/>
    </row>
    <row r="496" spans="1:28" s="4" customFormat="1" ht="51.95" customHeight="1">
      <c r="A496" s="5">
        <v>0</v>
      </c>
      <c r="B496" s="6" t="s">
        <v>3374</v>
      </c>
      <c r="C496" s="7">
        <v>1030</v>
      </c>
      <c r="D496" s="8" t="s">
        <v>3375</v>
      </c>
      <c r="E496" s="8" t="s">
        <v>3376</v>
      </c>
      <c r="F496" s="8" t="s">
        <v>3377</v>
      </c>
      <c r="G496" s="6" t="s">
        <v>90</v>
      </c>
      <c r="H496" s="6" t="s">
        <v>54</v>
      </c>
      <c r="I496" s="8" t="s">
        <v>40</v>
      </c>
      <c r="J496" s="9">
        <v>1</v>
      </c>
      <c r="K496" s="9">
        <v>320</v>
      </c>
      <c r="L496" s="9">
        <v>2019</v>
      </c>
      <c r="M496" s="8" t="s">
        <v>3378</v>
      </c>
      <c r="N496" s="8" t="s">
        <v>42</v>
      </c>
      <c r="O496" s="8" t="s">
        <v>1370</v>
      </c>
      <c r="P496" s="6" t="s">
        <v>58</v>
      </c>
      <c r="Q496" s="8" t="s">
        <v>45</v>
      </c>
      <c r="R496" s="10" t="s">
        <v>3379</v>
      </c>
      <c r="S496" s="11" t="s">
        <v>3380</v>
      </c>
      <c r="T496" s="6"/>
      <c r="U496" s="24" t="str">
        <f>HYPERLINK("https://media.infra-m.ru/1030/1030374/cover/1030374.jpg", "Обложка")</f>
        <v>Обложка</v>
      </c>
      <c r="V496" s="24" t="str">
        <f>HYPERLINK("https://znanium.ru/catalog/product/1030374", "Ознакомиться")</f>
        <v>Ознакомиться</v>
      </c>
      <c r="W496" s="8" t="s">
        <v>1317</v>
      </c>
      <c r="X496" s="6"/>
      <c r="Y496" s="6" t="s">
        <v>30</v>
      </c>
      <c r="Z496" s="6" t="s">
        <v>48</v>
      </c>
      <c r="AA496" s="6" t="s">
        <v>111</v>
      </c>
      <c r="AB496" s="8"/>
    </row>
    <row r="497" spans="1:28" s="4" customFormat="1" ht="51.95" customHeight="1">
      <c r="A497" s="5">
        <v>0</v>
      </c>
      <c r="B497" s="6" t="s">
        <v>3381</v>
      </c>
      <c r="C497" s="7">
        <v>2014</v>
      </c>
      <c r="D497" s="8" t="s">
        <v>3382</v>
      </c>
      <c r="E497" s="8" t="s">
        <v>3383</v>
      </c>
      <c r="F497" s="8" t="s">
        <v>3384</v>
      </c>
      <c r="G497" s="6" t="s">
        <v>90</v>
      </c>
      <c r="H497" s="6" t="s">
        <v>54</v>
      </c>
      <c r="I497" s="8" t="s">
        <v>40</v>
      </c>
      <c r="J497" s="9">
        <v>1</v>
      </c>
      <c r="K497" s="9">
        <v>388</v>
      </c>
      <c r="L497" s="9">
        <v>2026</v>
      </c>
      <c r="M497" s="8" t="s">
        <v>3385</v>
      </c>
      <c r="N497" s="8" t="s">
        <v>42</v>
      </c>
      <c r="O497" s="8" t="s">
        <v>1370</v>
      </c>
      <c r="P497" s="6" t="s">
        <v>44</v>
      </c>
      <c r="Q497" s="8" t="s">
        <v>45</v>
      </c>
      <c r="R497" s="10" t="s">
        <v>3386</v>
      </c>
      <c r="S497" s="11" t="s">
        <v>3387</v>
      </c>
      <c r="T497" s="6"/>
      <c r="U497" s="24" t="str">
        <f>HYPERLINK("https://media.infra-m.ru/2217/2217592/cover/2217592.jpg", "Обложка")</f>
        <v>Обложка</v>
      </c>
      <c r="V497" s="24" t="str">
        <f>HYPERLINK("https://znanium.ru/catalog/product/2184837", "Ознакомиться")</f>
        <v>Ознакомиться</v>
      </c>
      <c r="W497" s="8" t="s">
        <v>180</v>
      </c>
      <c r="X497" s="6"/>
      <c r="Y497" s="6"/>
      <c r="Z497" s="6" t="s">
        <v>48</v>
      </c>
      <c r="AA497" s="6" t="s">
        <v>500</v>
      </c>
      <c r="AB497" s="8"/>
    </row>
    <row r="498" spans="1:28" s="4" customFormat="1" ht="51.95" customHeight="1">
      <c r="A498" s="5">
        <v>0</v>
      </c>
      <c r="B498" s="6" t="s">
        <v>3388</v>
      </c>
      <c r="C498" s="7">
        <v>2264</v>
      </c>
      <c r="D498" s="8" t="s">
        <v>3389</v>
      </c>
      <c r="E498" s="8" t="s">
        <v>3390</v>
      </c>
      <c r="F498" s="8" t="s">
        <v>3384</v>
      </c>
      <c r="G498" s="6" t="s">
        <v>38</v>
      </c>
      <c r="H498" s="6" t="s">
        <v>54</v>
      </c>
      <c r="I498" s="8" t="s">
        <v>40</v>
      </c>
      <c r="J498" s="9">
        <v>1</v>
      </c>
      <c r="K498" s="9">
        <v>432</v>
      </c>
      <c r="L498" s="9">
        <v>2026</v>
      </c>
      <c r="M498" s="8" t="s">
        <v>3391</v>
      </c>
      <c r="N498" s="8" t="s">
        <v>42</v>
      </c>
      <c r="O498" s="8" t="s">
        <v>1370</v>
      </c>
      <c r="P498" s="6" t="s">
        <v>44</v>
      </c>
      <c r="Q498" s="8" t="s">
        <v>45</v>
      </c>
      <c r="R498" s="10" t="s">
        <v>3386</v>
      </c>
      <c r="S498" s="11" t="s">
        <v>3392</v>
      </c>
      <c r="T498" s="6"/>
      <c r="U498" s="24" t="str">
        <f>HYPERLINK("https://media.infra-m.ru/2217/2217589/cover/2217589.jpg", "Обложка")</f>
        <v>Обложка</v>
      </c>
      <c r="V498" s="24" t="str">
        <f>HYPERLINK("https://znanium.ru/catalog/product/2184838", "Ознакомиться")</f>
        <v>Ознакомиться</v>
      </c>
      <c r="W498" s="8" t="s">
        <v>180</v>
      </c>
      <c r="X498" s="6"/>
      <c r="Y498" s="6"/>
      <c r="Z498" s="6" t="s">
        <v>48</v>
      </c>
      <c r="AA498" s="6" t="s">
        <v>500</v>
      </c>
      <c r="AB498" s="8"/>
    </row>
    <row r="499" spans="1:28" s="4" customFormat="1" ht="51.95" customHeight="1">
      <c r="A499" s="5">
        <v>0</v>
      </c>
      <c r="B499" s="6" t="s">
        <v>3393</v>
      </c>
      <c r="C499" s="7">
        <v>1744</v>
      </c>
      <c r="D499" s="8" t="s">
        <v>3394</v>
      </c>
      <c r="E499" s="8" t="s">
        <v>3395</v>
      </c>
      <c r="F499" s="8" t="s">
        <v>3396</v>
      </c>
      <c r="G499" s="6" t="s">
        <v>67</v>
      </c>
      <c r="H499" s="6" t="s">
        <v>54</v>
      </c>
      <c r="I499" s="8" t="s">
        <v>40</v>
      </c>
      <c r="J499" s="9">
        <v>1</v>
      </c>
      <c r="K499" s="9">
        <v>316</v>
      </c>
      <c r="L499" s="9">
        <v>2026</v>
      </c>
      <c r="M499" s="8" t="s">
        <v>3397</v>
      </c>
      <c r="N499" s="8" t="s">
        <v>42</v>
      </c>
      <c r="O499" s="8" t="s">
        <v>169</v>
      </c>
      <c r="P499" s="6" t="s">
        <v>44</v>
      </c>
      <c r="Q499" s="8" t="s">
        <v>45</v>
      </c>
      <c r="R499" s="10" t="s">
        <v>3398</v>
      </c>
      <c r="S499" s="11" t="s">
        <v>3399</v>
      </c>
      <c r="T499" s="6"/>
      <c r="U499" s="24" t="str">
        <f>HYPERLINK("https://media.infra-m.ru/2224/2224157/cover/2224157.jpg", "Обложка")</f>
        <v>Обложка</v>
      </c>
      <c r="V499" s="24" t="str">
        <f>HYPERLINK("https://znanium.ru/catalog/product/2200765", "Ознакомиться")</f>
        <v>Ознакомиться</v>
      </c>
      <c r="W499" s="8"/>
      <c r="X499" s="6"/>
      <c r="Y499" s="6"/>
      <c r="Z499" s="6"/>
      <c r="AA499" s="6" t="s">
        <v>500</v>
      </c>
      <c r="AB499" s="8"/>
    </row>
    <row r="500" spans="1:28" s="4" customFormat="1" ht="44.1" customHeight="1">
      <c r="A500" s="5">
        <v>0</v>
      </c>
      <c r="B500" s="6" t="s">
        <v>3400</v>
      </c>
      <c r="C500" s="7">
        <v>1844</v>
      </c>
      <c r="D500" s="8" t="s">
        <v>3401</v>
      </c>
      <c r="E500" s="8" t="s">
        <v>3402</v>
      </c>
      <c r="F500" s="8" t="s">
        <v>3403</v>
      </c>
      <c r="G500" s="6" t="s">
        <v>90</v>
      </c>
      <c r="H500" s="6" t="s">
        <v>824</v>
      </c>
      <c r="I500" s="8" t="s">
        <v>40</v>
      </c>
      <c r="J500" s="9">
        <v>1</v>
      </c>
      <c r="K500" s="9">
        <v>336</v>
      </c>
      <c r="L500" s="9">
        <v>2026</v>
      </c>
      <c r="M500" s="8" t="s">
        <v>3404</v>
      </c>
      <c r="N500" s="8" t="s">
        <v>42</v>
      </c>
      <c r="O500" s="8" t="s">
        <v>1370</v>
      </c>
      <c r="P500" s="6" t="s">
        <v>58</v>
      </c>
      <c r="Q500" s="8" t="s">
        <v>45</v>
      </c>
      <c r="R500" s="10" t="s">
        <v>3405</v>
      </c>
      <c r="S500" s="11"/>
      <c r="T500" s="6"/>
      <c r="U500" s="24" t="str">
        <f>HYPERLINK("https://media.infra-m.ru/2222/2222976/cover/2222976.jpg", "Обложка")</f>
        <v>Обложка</v>
      </c>
      <c r="V500" s="24" t="str">
        <f>HYPERLINK("https://znanium.ru/catalog/product/2169731", "Ознакомиться")</f>
        <v>Ознакомиться</v>
      </c>
      <c r="W500" s="8" t="s">
        <v>172</v>
      </c>
      <c r="X500" s="6"/>
      <c r="Y500" s="6"/>
      <c r="Z500" s="6"/>
      <c r="AA500" s="6" t="s">
        <v>766</v>
      </c>
      <c r="AB500" s="8"/>
    </row>
    <row r="501" spans="1:28" s="4" customFormat="1" ht="51.95" customHeight="1">
      <c r="A501" s="5">
        <v>0</v>
      </c>
      <c r="B501" s="6" t="s">
        <v>3406</v>
      </c>
      <c r="C501" s="13">
        <v>834</v>
      </c>
      <c r="D501" s="8" t="s">
        <v>3407</v>
      </c>
      <c r="E501" s="8" t="s">
        <v>3402</v>
      </c>
      <c r="F501" s="8" t="s">
        <v>3408</v>
      </c>
      <c r="G501" s="6" t="s">
        <v>90</v>
      </c>
      <c r="H501" s="6" t="s">
        <v>54</v>
      </c>
      <c r="I501" s="8" t="s">
        <v>40</v>
      </c>
      <c r="J501" s="9">
        <v>1</v>
      </c>
      <c r="K501" s="9">
        <v>151</v>
      </c>
      <c r="L501" s="9">
        <v>2026</v>
      </c>
      <c r="M501" s="8" t="s">
        <v>3409</v>
      </c>
      <c r="N501" s="8" t="s">
        <v>42</v>
      </c>
      <c r="O501" s="8" t="s">
        <v>1370</v>
      </c>
      <c r="P501" s="6" t="s">
        <v>58</v>
      </c>
      <c r="Q501" s="8" t="s">
        <v>45</v>
      </c>
      <c r="R501" s="10" t="s">
        <v>3410</v>
      </c>
      <c r="S501" s="11" t="s">
        <v>230</v>
      </c>
      <c r="T501" s="6"/>
      <c r="U501" s="24" t="str">
        <f>HYPERLINK("https://media.infra-m.ru/2226/2226474/cover/2226474.jpg", "Обложка")</f>
        <v>Обложка</v>
      </c>
      <c r="V501" s="24" t="str">
        <f>HYPERLINK("https://znanium.ru/catalog/product/2184529", "Ознакомиться")</f>
        <v>Ознакомиться</v>
      </c>
      <c r="W501" s="8" t="s">
        <v>1552</v>
      </c>
      <c r="X501" s="6"/>
      <c r="Y501" s="6" t="s">
        <v>30</v>
      </c>
      <c r="Z501" s="6"/>
      <c r="AA501" s="6" t="s">
        <v>1526</v>
      </c>
      <c r="AB501" s="8"/>
    </row>
    <row r="502" spans="1:28" s="4" customFormat="1" ht="51.95" customHeight="1">
      <c r="A502" s="5">
        <v>0</v>
      </c>
      <c r="B502" s="6" t="s">
        <v>3411</v>
      </c>
      <c r="C502" s="13">
        <v>538</v>
      </c>
      <c r="D502" s="8" t="s">
        <v>3412</v>
      </c>
      <c r="E502" s="8" t="s">
        <v>3402</v>
      </c>
      <c r="F502" s="8" t="s">
        <v>3413</v>
      </c>
      <c r="G502" s="6" t="s">
        <v>67</v>
      </c>
      <c r="H502" s="6" t="s">
        <v>68</v>
      </c>
      <c r="I502" s="8" t="s">
        <v>3414</v>
      </c>
      <c r="J502" s="9">
        <v>1</v>
      </c>
      <c r="K502" s="9">
        <v>158</v>
      </c>
      <c r="L502" s="9">
        <v>2025</v>
      </c>
      <c r="M502" s="8" t="s">
        <v>3415</v>
      </c>
      <c r="N502" s="8" t="s">
        <v>42</v>
      </c>
      <c r="O502" s="8" t="s">
        <v>1370</v>
      </c>
      <c r="P502" s="6" t="s">
        <v>44</v>
      </c>
      <c r="Q502" s="8" t="s">
        <v>45</v>
      </c>
      <c r="R502" s="10" t="s">
        <v>3416</v>
      </c>
      <c r="S502" s="11" t="s">
        <v>1525</v>
      </c>
      <c r="T502" s="6"/>
      <c r="U502" s="24" t="str">
        <f>HYPERLINK("https://media.infra-m.ru/2192/2192368/cover/2192368.jpg", "Обложка")</f>
        <v>Обложка</v>
      </c>
      <c r="V502" s="24" t="str">
        <f>HYPERLINK("https://znanium.ru/catalog/product/2192368", "Ознакомиться")</f>
        <v>Ознакомиться</v>
      </c>
      <c r="W502" s="8"/>
      <c r="X502" s="6"/>
      <c r="Y502" s="6"/>
      <c r="Z502" s="6"/>
      <c r="AA502" s="6" t="s">
        <v>988</v>
      </c>
      <c r="AB502" s="8"/>
    </row>
    <row r="503" spans="1:28" s="4" customFormat="1" ht="51.95" customHeight="1">
      <c r="A503" s="5">
        <v>0</v>
      </c>
      <c r="B503" s="6" t="s">
        <v>3417</v>
      </c>
      <c r="C503" s="7">
        <v>1734</v>
      </c>
      <c r="D503" s="8" t="s">
        <v>3418</v>
      </c>
      <c r="E503" s="8" t="s">
        <v>3402</v>
      </c>
      <c r="F503" s="8" t="s">
        <v>308</v>
      </c>
      <c r="G503" s="6" t="s">
        <v>38</v>
      </c>
      <c r="H503" s="6" t="s">
        <v>299</v>
      </c>
      <c r="I503" s="8" t="s">
        <v>69</v>
      </c>
      <c r="J503" s="9">
        <v>1</v>
      </c>
      <c r="K503" s="9">
        <v>368</v>
      </c>
      <c r="L503" s="9">
        <v>2024</v>
      </c>
      <c r="M503" s="8" t="s">
        <v>3419</v>
      </c>
      <c r="N503" s="8" t="s">
        <v>42</v>
      </c>
      <c r="O503" s="8" t="s">
        <v>1370</v>
      </c>
      <c r="P503" s="6" t="s">
        <v>44</v>
      </c>
      <c r="Q503" s="8" t="s">
        <v>45</v>
      </c>
      <c r="R503" s="10" t="s">
        <v>3420</v>
      </c>
      <c r="S503" s="11" t="s">
        <v>3421</v>
      </c>
      <c r="T503" s="6"/>
      <c r="U503" s="24" t="str">
        <f>HYPERLINK("https://media.infra-m.ru/2149/2149193/cover/2149193.jpg", "Обложка")</f>
        <v>Обложка</v>
      </c>
      <c r="V503" s="24" t="str">
        <f>HYPERLINK("https://znanium.ru/catalog/product/2143543", "Ознакомиться")</f>
        <v>Ознакомиться</v>
      </c>
      <c r="W503" s="8" t="s">
        <v>312</v>
      </c>
      <c r="X503" s="6"/>
      <c r="Y503" s="6" t="s">
        <v>30</v>
      </c>
      <c r="Z503" s="6"/>
      <c r="AA503" s="6" t="s">
        <v>304</v>
      </c>
      <c r="AB503" s="8"/>
    </row>
    <row r="504" spans="1:28" s="4" customFormat="1" ht="51.95" customHeight="1">
      <c r="A504" s="5">
        <v>0</v>
      </c>
      <c r="B504" s="6" t="s">
        <v>3422</v>
      </c>
      <c r="C504" s="7">
        <v>1594</v>
      </c>
      <c r="D504" s="8" t="s">
        <v>3423</v>
      </c>
      <c r="E504" s="8" t="s">
        <v>3424</v>
      </c>
      <c r="F504" s="8" t="s">
        <v>3425</v>
      </c>
      <c r="G504" s="6" t="s">
        <v>38</v>
      </c>
      <c r="H504" s="6" t="s">
        <v>54</v>
      </c>
      <c r="I504" s="8" t="s">
        <v>40</v>
      </c>
      <c r="J504" s="9">
        <v>1</v>
      </c>
      <c r="K504" s="9">
        <v>307</v>
      </c>
      <c r="L504" s="9">
        <v>2026</v>
      </c>
      <c r="M504" s="8" t="s">
        <v>3426</v>
      </c>
      <c r="N504" s="8" t="s">
        <v>42</v>
      </c>
      <c r="O504" s="8" t="s">
        <v>169</v>
      </c>
      <c r="P504" s="6" t="s">
        <v>44</v>
      </c>
      <c r="Q504" s="8" t="s">
        <v>45</v>
      </c>
      <c r="R504" s="10" t="s">
        <v>3427</v>
      </c>
      <c r="S504" s="11" t="s">
        <v>3428</v>
      </c>
      <c r="T504" s="6"/>
      <c r="U504" s="24" t="str">
        <f>HYPERLINK("https://media.infra-m.ru/2216/2216923/cover/2216923.jpg", "Обложка")</f>
        <v>Обложка</v>
      </c>
      <c r="V504" s="24" t="str">
        <f>HYPERLINK("https://znanium.ru/catalog/product/1175196", "Ознакомиться")</f>
        <v>Ознакомиться</v>
      </c>
      <c r="W504" s="8" t="s">
        <v>2423</v>
      </c>
      <c r="X504" s="6"/>
      <c r="Y504" s="6"/>
      <c r="Z504" s="6" t="s">
        <v>48</v>
      </c>
      <c r="AA504" s="6" t="s">
        <v>443</v>
      </c>
      <c r="AB504" s="8"/>
    </row>
    <row r="505" spans="1:28" s="4" customFormat="1" ht="51.95" customHeight="1">
      <c r="A505" s="5">
        <v>0</v>
      </c>
      <c r="B505" s="6" t="s">
        <v>3429</v>
      </c>
      <c r="C505" s="7">
        <v>1230</v>
      </c>
      <c r="D505" s="8" t="s">
        <v>3430</v>
      </c>
      <c r="E505" s="8" t="s">
        <v>3431</v>
      </c>
      <c r="F505" s="8" t="s">
        <v>3432</v>
      </c>
      <c r="G505" s="6" t="s">
        <v>90</v>
      </c>
      <c r="H505" s="6" t="s">
        <v>54</v>
      </c>
      <c r="I505" s="8" t="s">
        <v>40</v>
      </c>
      <c r="J505" s="9">
        <v>1</v>
      </c>
      <c r="K505" s="9">
        <v>224</v>
      </c>
      <c r="L505" s="9">
        <v>2026</v>
      </c>
      <c r="M505" s="8" t="s">
        <v>3433</v>
      </c>
      <c r="N505" s="8" t="s">
        <v>42</v>
      </c>
      <c r="O505" s="8" t="s">
        <v>169</v>
      </c>
      <c r="P505" s="6" t="s">
        <v>44</v>
      </c>
      <c r="Q505" s="8" t="s">
        <v>45</v>
      </c>
      <c r="R505" s="10" t="s">
        <v>3398</v>
      </c>
      <c r="S505" s="11" t="s">
        <v>3434</v>
      </c>
      <c r="T505" s="6"/>
      <c r="U505" s="24" t="str">
        <f>HYPERLINK("https://media.infra-m.ru/2217/2217581/cover/2217581.jpg", "Обложка")</f>
        <v>Обложка</v>
      </c>
      <c r="V505" s="24" t="str">
        <f>HYPERLINK("https://znanium.ru/catalog/product/2217581", "Ознакомиться")</f>
        <v>Ознакомиться</v>
      </c>
      <c r="W505" s="8" t="s">
        <v>593</v>
      </c>
      <c r="X505" s="6"/>
      <c r="Y505" s="6"/>
      <c r="Z505" s="6" t="s">
        <v>207</v>
      </c>
      <c r="AA505" s="6" t="s">
        <v>111</v>
      </c>
      <c r="AB505" s="8"/>
    </row>
    <row r="506" spans="1:28" s="4" customFormat="1" ht="51.95" customHeight="1">
      <c r="A506" s="5">
        <v>0</v>
      </c>
      <c r="B506" s="6" t="s">
        <v>3435</v>
      </c>
      <c r="C506" s="13">
        <v>940</v>
      </c>
      <c r="D506" s="8" t="s">
        <v>3436</v>
      </c>
      <c r="E506" s="8" t="s">
        <v>3437</v>
      </c>
      <c r="F506" s="8" t="s">
        <v>3438</v>
      </c>
      <c r="G506" s="6" t="s">
        <v>90</v>
      </c>
      <c r="H506" s="6" t="s">
        <v>54</v>
      </c>
      <c r="I506" s="8" t="s">
        <v>40</v>
      </c>
      <c r="J506" s="9">
        <v>1</v>
      </c>
      <c r="K506" s="9">
        <v>144</v>
      </c>
      <c r="L506" s="9">
        <v>2026</v>
      </c>
      <c r="M506" s="8" t="s">
        <v>3439</v>
      </c>
      <c r="N506" s="8" t="s">
        <v>42</v>
      </c>
      <c r="O506" s="8" t="s">
        <v>169</v>
      </c>
      <c r="P506" s="6" t="s">
        <v>44</v>
      </c>
      <c r="Q506" s="8" t="s">
        <v>45</v>
      </c>
      <c r="R506" s="10" t="s">
        <v>3440</v>
      </c>
      <c r="S506" s="11" t="s">
        <v>3441</v>
      </c>
      <c r="T506" s="6"/>
      <c r="U506" s="24" t="str">
        <f>HYPERLINK("https://media.infra-m.ru/2226/2226637/cover/2226637.jpg", "Обложка")</f>
        <v>Обложка</v>
      </c>
      <c r="V506" s="24" t="str">
        <f>HYPERLINK("https://znanium.ru/catalog/product/2226637", "Ознакомиться")</f>
        <v>Ознакомиться</v>
      </c>
      <c r="W506" s="8" t="s">
        <v>593</v>
      </c>
      <c r="X506" s="6"/>
      <c r="Y506" s="6"/>
      <c r="Z506" s="6" t="s">
        <v>48</v>
      </c>
      <c r="AA506" s="6" t="s">
        <v>111</v>
      </c>
      <c r="AB506" s="8"/>
    </row>
    <row r="507" spans="1:28" s="4" customFormat="1" ht="51.95" customHeight="1">
      <c r="A507" s="5">
        <v>0</v>
      </c>
      <c r="B507" s="6" t="s">
        <v>3442</v>
      </c>
      <c r="C507" s="13">
        <v>990</v>
      </c>
      <c r="D507" s="8" t="s">
        <v>3443</v>
      </c>
      <c r="E507" s="8" t="s">
        <v>3444</v>
      </c>
      <c r="F507" s="8" t="s">
        <v>2109</v>
      </c>
      <c r="G507" s="6" t="s">
        <v>90</v>
      </c>
      <c r="H507" s="6" t="s">
        <v>54</v>
      </c>
      <c r="I507" s="8" t="s">
        <v>40</v>
      </c>
      <c r="J507" s="9">
        <v>1</v>
      </c>
      <c r="K507" s="9">
        <v>183</v>
      </c>
      <c r="L507" s="9">
        <v>2026</v>
      </c>
      <c r="M507" s="8" t="s">
        <v>3445</v>
      </c>
      <c r="N507" s="8" t="s">
        <v>42</v>
      </c>
      <c r="O507" s="8" t="s">
        <v>187</v>
      </c>
      <c r="P507" s="6" t="s">
        <v>58</v>
      </c>
      <c r="Q507" s="8" t="s">
        <v>45</v>
      </c>
      <c r="R507" s="10" t="s">
        <v>3446</v>
      </c>
      <c r="S507" s="11" t="s">
        <v>3447</v>
      </c>
      <c r="T507" s="6"/>
      <c r="U507" s="24" t="str">
        <f>HYPERLINK("https://media.infra-m.ru/2220/2220928/cover/2220928.jpg", "Обложка")</f>
        <v>Обложка</v>
      </c>
      <c r="V507" s="24" t="str">
        <f>HYPERLINK("https://znanium.ru/catalog/product/2220928", "Ознакомиться")</f>
        <v>Ознакомиться</v>
      </c>
      <c r="W507" s="8" t="s">
        <v>180</v>
      </c>
      <c r="X507" s="6"/>
      <c r="Y507" s="6" t="s">
        <v>30</v>
      </c>
      <c r="Z507" s="6"/>
      <c r="AA507" s="6" t="s">
        <v>1526</v>
      </c>
      <c r="AB507" s="8"/>
    </row>
    <row r="508" spans="1:28" s="4" customFormat="1" ht="51.95" customHeight="1">
      <c r="A508" s="5">
        <v>0</v>
      </c>
      <c r="B508" s="6" t="s">
        <v>3448</v>
      </c>
      <c r="C508" s="7">
        <v>2140</v>
      </c>
      <c r="D508" s="8" t="s">
        <v>3449</v>
      </c>
      <c r="E508" s="8" t="s">
        <v>3450</v>
      </c>
      <c r="F508" s="8" t="s">
        <v>3451</v>
      </c>
      <c r="G508" s="6" t="s">
        <v>90</v>
      </c>
      <c r="H508" s="6" t="s">
        <v>54</v>
      </c>
      <c r="I508" s="8" t="s">
        <v>40</v>
      </c>
      <c r="J508" s="9">
        <v>1</v>
      </c>
      <c r="K508" s="9">
        <v>409</v>
      </c>
      <c r="L508" s="9">
        <v>2025</v>
      </c>
      <c r="M508" s="8" t="s">
        <v>3452</v>
      </c>
      <c r="N508" s="8" t="s">
        <v>125</v>
      </c>
      <c r="O508" s="8" t="s">
        <v>1630</v>
      </c>
      <c r="P508" s="6" t="s">
        <v>58</v>
      </c>
      <c r="Q508" s="8" t="s">
        <v>45</v>
      </c>
      <c r="R508" s="10" t="s">
        <v>3453</v>
      </c>
      <c r="S508" s="11" t="s">
        <v>3454</v>
      </c>
      <c r="T508" s="6"/>
      <c r="U508" s="24" t="str">
        <f>HYPERLINK("https://media.infra-m.ru/2163/2163032/cover/2163032.jpg", "Обложка")</f>
        <v>Обложка</v>
      </c>
      <c r="V508" s="24" t="str">
        <f>HYPERLINK("https://znanium.ru/catalog/product/2163032", "Ознакомиться")</f>
        <v>Ознакомиться</v>
      </c>
      <c r="W508" s="8" t="s">
        <v>3455</v>
      </c>
      <c r="X508" s="6" t="s">
        <v>727</v>
      </c>
      <c r="Y508" s="6"/>
      <c r="Z508" s="6" t="s">
        <v>207</v>
      </c>
      <c r="AA508" s="6" t="s">
        <v>84</v>
      </c>
      <c r="AB508" s="8"/>
    </row>
    <row r="509" spans="1:28" s="4" customFormat="1" ht="51.95" customHeight="1">
      <c r="A509" s="5">
        <v>0</v>
      </c>
      <c r="B509" s="6" t="s">
        <v>3456</v>
      </c>
      <c r="C509" s="7">
        <v>2470</v>
      </c>
      <c r="D509" s="8" t="s">
        <v>3457</v>
      </c>
      <c r="E509" s="8" t="s">
        <v>3458</v>
      </c>
      <c r="F509" s="8" t="s">
        <v>2686</v>
      </c>
      <c r="G509" s="6" t="s">
        <v>38</v>
      </c>
      <c r="H509" s="6" t="s">
        <v>54</v>
      </c>
      <c r="I509" s="8" t="s">
        <v>40</v>
      </c>
      <c r="J509" s="9">
        <v>1</v>
      </c>
      <c r="K509" s="9">
        <v>448</v>
      </c>
      <c r="L509" s="9">
        <v>2026</v>
      </c>
      <c r="M509" s="8" t="s">
        <v>3459</v>
      </c>
      <c r="N509" s="8" t="s">
        <v>125</v>
      </c>
      <c r="O509" s="8" t="s">
        <v>798</v>
      </c>
      <c r="P509" s="6" t="s">
        <v>44</v>
      </c>
      <c r="Q509" s="8" t="s">
        <v>45</v>
      </c>
      <c r="R509" s="10" t="s">
        <v>3460</v>
      </c>
      <c r="S509" s="11" t="s">
        <v>3461</v>
      </c>
      <c r="T509" s="6"/>
      <c r="U509" s="24" t="str">
        <f>HYPERLINK("https://media.infra-m.ru/2224/2224073/cover/2224073.jpg", "Обложка")</f>
        <v>Обложка</v>
      </c>
      <c r="V509" s="24" t="str">
        <f>HYPERLINK("https://znanium.ru/catalog/product/2224073", "Ознакомиться")</f>
        <v>Ознакомиться</v>
      </c>
      <c r="W509" s="8" t="s">
        <v>2494</v>
      </c>
      <c r="X509" s="6"/>
      <c r="Y509" s="6"/>
      <c r="Z509" s="6" t="s">
        <v>48</v>
      </c>
      <c r="AA509" s="6" t="s">
        <v>102</v>
      </c>
      <c r="AB509" s="8"/>
    </row>
    <row r="510" spans="1:28" s="4" customFormat="1" ht="51.95" customHeight="1">
      <c r="A510" s="5">
        <v>0</v>
      </c>
      <c r="B510" s="6" t="s">
        <v>3462</v>
      </c>
      <c r="C510" s="7">
        <v>1844</v>
      </c>
      <c r="D510" s="8" t="s">
        <v>3463</v>
      </c>
      <c r="E510" s="8" t="s">
        <v>3464</v>
      </c>
      <c r="F510" s="8" t="s">
        <v>3465</v>
      </c>
      <c r="G510" s="6" t="s">
        <v>38</v>
      </c>
      <c r="H510" s="6" t="s">
        <v>54</v>
      </c>
      <c r="I510" s="8" t="s">
        <v>40</v>
      </c>
      <c r="J510" s="9">
        <v>1</v>
      </c>
      <c r="K510" s="9">
        <v>368</v>
      </c>
      <c r="L510" s="9">
        <v>2025</v>
      </c>
      <c r="M510" s="8" t="s">
        <v>3466</v>
      </c>
      <c r="N510" s="8" t="s">
        <v>42</v>
      </c>
      <c r="O510" s="8" t="s">
        <v>553</v>
      </c>
      <c r="P510" s="6" t="s">
        <v>58</v>
      </c>
      <c r="Q510" s="8" t="s">
        <v>45</v>
      </c>
      <c r="R510" s="10" t="s">
        <v>3467</v>
      </c>
      <c r="S510" s="11" t="s">
        <v>3468</v>
      </c>
      <c r="T510" s="6"/>
      <c r="U510" s="24" t="str">
        <f>HYPERLINK("https://media.infra-m.ru/2189/2189100/cover/2189100.jpg", "Обложка")</f>
        <v>Обложка</v>
      </c>
      <c r="V510" s="24" t="str">
        <f>HYPERLINK("https://znanium.ru/catalog/product/1872513", "Ознакомиться")</f>
        <v>Ознакомиться</v>
      </c>
      <c r="W510" s="8" t="s">
        <v>3469</v>
      </c>
      <c r="X510" s="6"/>
      <c r="Y510" s="6"/>
      <c r="Z510" s="6" t="s">
        <v>48</v>
      </c>
      <c r="AA510" s="6" t="s">
        <v>49</v>
      </c>
      <c r="AB510" s="8"/>
    </row>
    <row r="511" spans="1:28" s="4" customFormat="1" ht="51.95" customHeight="1">
      <c r="A511" s="5">
        <v>0</v>
      </c>
      <c r="B511" s="6" t="s">
        <v>3470</v>
      </c>
      <c r="C511" s="7">
        <v>1290</v>
      </c>
      <c r="D511" s="8" t="s">
        <v>3471</v>
      </c>
      <c r="E511" s="8" t="s">
        <v>3472</v>
      </c>
      <c r="F511" s="8" t="s">
        <v>3465</v>
      </c>
      <c r="G511" s="6" t="s">
        <v>38</v>
      </c>
      <c r="H511" s="6" t="s">
        <v>54</v>
      </c>
      <c r="I511" s="8" t="s">
        <v>40</v>
      </c>
      <c r="J511" s="9">
        <v>1</v>
      </c>
      <c r="K511" s="9">
        <v>357</v>
      </c>
      <c r="L511" s="9">
        <v>2021</v>
      </c>
      <c r="M511" s="8" t="s">
        <v>3473</v>
      </c>
      <c r="N511" s="8" t="s">
        <v>42</v>
      </c>
      <c r="O511" s="8" t="s">
        <v>553</v>
      </c>
      <c r="P511" s="6" t="s">
        <v>58</v>
      </c>
      <c r="Q511" s="8" t="s">
        <v>45</v>
      </c>
      <c r="R511" s="10" t="s">
        <v>3467</v>
      </c>
      <c r="S511" s="11" t="s">
        <v>3468</v>
      </c>
      <c r="T511" s="6"/>
      <c r="U511" s="24" t="str">
        <f>HYPERLINK("https://media.infra-m.ru/1149/1149111/cover/1149111.jpg", "Обложка")</f>
        <v>Обложка</v>
      </c>
      <c r="V511" s="24" t="str">
        <f>HYPERLINK("https://znanium.ru/catalog/product/1872513", "Ознакомиться")</f>
        <v>Ознакомиться</v>
      </c>
      <c r="W511" s="8" t="s">
        <v>3469</v>
      </c>
      <c r="X511" s="6"/>
      <c r="Y511" s="6"/>
      <c r="Z511" s="6" t="s">
        <v>48</v>
      </c>
      <c r="AA511" s="6" t="s">
        <v>223</v>
      </c>
      <c r="AB511" s="8"/>
    </row>
    <row r="512" spans="1:28" s="4" customFormat="1" ht="51.95" customHeight="1">
      <c r="A512" s="5">
        <v>0</v>
      </c>
      <c r="B512" s="6" t="s">
        <v>3474</v>
      </c>
      <c r="C512" s="7">
        <v>1564</v>
      </c>
      <c r="D512" s="8" t="s">
        <v>3475</v>
      </c>
      <c r="E512" s="8" t="s">
        <v>3476</v>
      </c>
      <c r="F512" s="8" t="s">
        <v>3477</v>
      </c>
      <c r="G512" s="6" t="s">
        <v>90</v>
      </c>
      <c r="H512" s="6" t="s">
        <v>54</v>
      </c>
      <c r="I512" s="8" t="s">
        <v>40</v>
      </c>
      <c r="J512" s="9">
        <v>1</v>
      </c>
      <c r="K512" s="9">
        <v>284</v>
      </c>
      <c r="L512" s="9">
        <v>2026</v>
      </c>
      <c r="M512" s="8" t="s">
        <v>3478</v>
      </c>
      <c r="N512" s="8" t="s">
        <v>125</v>
      </c>
      <c r="O512" s="8" t="s">
        <v>1630</v>
      </c>
      <c r="P512" s="6" t="s">
        <v>44</v>
      </c>
      <c r="Q512" s="8" t="s">
        <v>45</v>
      </c>
      <c r="R512" s="10" t="s">
        <v>3479</v>
      </c>
      <c r="S512" s="11" t="s">
        <v>2522</v>
      </c>
      <c r="T512" s="6"/>
      <c r="U512" s="24" t="str">
        <f>HYPERLINK("https://media.infra-m.ru/2224/2224139/cover/2224139.jpg", "Обложка")</f>
        <v>Обложка</v>
      </c>
      <c r="V512" s="24" t="str">
        <f>HYPERLINK("https://znanium.ru/catalog/product/2185894", "Ознакомиться")</f>
        <v>Ознакомиться</v>
      </c>
      <c r="W512" s="8" t="s">
        <v>2347</v>
      </c>
      <c r="X512" s="6"/>
      <c r="Y512" s="6" t="s">
        <v>30</v>
      </c>
      <c r="Z512" s="6" t="s">
        <v>48</v>
      </c>
      <c r="AA512" s="6" t="s">
        <v>330</v>
      </c>
      <c r="AB512" s="8"/>
    </row>
    <row r="513" spans="1:28" s="4" customFormat="1" ht="51.95" customHeight="1">
      <c r="A513" s="5">
        <v>0</v>
      </c>
      <c r="B513" s="6" t="s">
        <v>3480</v>
      </c>
      <c r="C513" s="7">
        <v>2014</v>
      </c>
      <c r="D513" s="8" t="s">
        <v>3481</v>
      </c>
      <c r="E513" s="8" t="s">
        <v>3476</v>
      </c>
      <c r="F513" s="8" t="s">
        <v>3482</v>
      </c>
      <c r="G513" s="6" t="s">
        <v>67</v>
      </c>
      <c r="H513" s="6" t="s">
        <v>54</v>
      </c>
      <c r="I513" s="8" t="s">
        <v>40</v>
      </c>
      <c r="J513" s="9">
        <v>1</v>
      </c>
      <c r="K513" s="9">
        <v>366</v>
      </c>
      <c r="L513" s="9">
        <v>2026</v>
      </c>
      <c r="M513" s="8" t="s">
        <v>3483</v>
      </c>
      <c r="N513" s="8" t="s">
        <v>125</v>
      </c>
      <c r="O513" s="8" t="s">
        <v>1630</v>
      </c>
      <c r="P513" s="6" t="s">
        <v>44</v>
      </c>
      <c r="Q513" s="8" t="s">
        <v>45</v>
      </c>
      <c r="R513" s="10" t="s">
        <v>3484</v>
      </c>
      <c r="S513" s="11" t="s">
        <v>1106</v>
      </c>
      <c r="T513" s="6"/>
      <c r="U513" s="24" t="str">
        <f>HYPERLINK("https://media.infra-m.ru/2224/2224114/cover/2224114.jpg", "Обложка")</f>
        <v>Обложка</v>
      </c>
      <c r="V513" s="24" t="str">
        <f>HYPERLINK("https://znanium.ru/catalog/product/2208427", "Ознакомиться")</f>
        <v>Ознакомиться</v>
      </c>
      <c r="W513" s="8" t="s">
        <v>73</v>
      </c>
      <c r="X513" s="6"/>
      <c r="Y513" s="6"/>
      <c r="Z513" s="6"/>
      <c r="AA513" s="6" t="s">
        <v>1730</v>
      </c>
      <c r="AB513" s="8"/>
    </row>
    <row r="514" spans="1:28" s="4" customFormat="1" ht="51.95" customHeight="1">
      <c r="A514" s="5">
        <v>0</v>
      </c>
      <c r="B514" s="6" t="s">
        <v>3485</v>
      </c>
      <c r="C514" s="7">
        <v>2690</v>
      </c>
      <c r="D514" s="8" t="s">
        <v>3486</v>
      </c>
      <c r="E514" s="8" t="s">
        <v>3487</v>
      </c>
      <c r="F514" s="8" t="s">
        <v>3488</v>
      </c>
      <c r="G514" s="6" t="s">
        <v>38</v>
      </c>
      <c r="H514" s="6" t="s">
        <v>54</v>
      </c>
      <c r="I514" s="8" t="s">
        <v>40</v>
      </c>
      <c r="J514" s="9">
        <v>1</v>
      </c>
      <c r="K514" s="9">
        <v>512</v>
      </c>
      <c r="L514" s="9">
        <v>2026</v>
      </c>
      <c r="M514" s="8" t="s">
        <v>3489</v>
      </c>
      <c r="N514" s="8" t="s">
        <v>125</v>
      </c>
      <c r="O514" s="8" t="s">
        <v>1630</v>
      </c>
      <c r="P514" s="6" t="s">
        <v>44</v>
      </c>
      <c r="Q514" s="8" t="s">
        <v>45</v>
      </c>
      <c r="R514" s="10" t="s">
        <v>3490</v>
      </c>
      <c r="S514" s="11" t="s">
        <v>661</v>
      </c>
      <c r="T514" s="6"/>
      <c r="U514" s="24" t="str">
        <f>HYPERLINK("https://media.infra-m.ru/2218/2218674/cover/2218674.jpg", "Обложка")</f>
        <v>Обложка</v>
      </c>
      <c r="V514" s="24" t="str">
        <f>HYPERLINK("https://znanium.ru/catalog/product/2218674", "Ознакомиться")</f>
        <v>Ознакомиться</v>
      </c>
      <c r="W514" s="8" t="s">
        <v>466</v>
      </c>
      <c r="X514" s="6"/>
      <c r="Y514" s="6"/>
      <c r="Z514" s="6" t="s">
        <v>48</v>
      </c>
      <c r="AA514" s="6" t="s">
        <v>129</v>
      </c>
      <c r="AB514" s="8"/>
    </row>
    <row r="515" spans="1:28" s="4" customFormat="1" ht="51.95" customHeight="1">
      <c r="A515" s="5">
        <v>0</v>
      </c>
      <c r="B515" s="6" t="s">
        <v>3491</v>
      </c>
      <c r="C515" s="7">
        <v>1120</v>
      </c>
      <c r="D515" s="8" t="s">
        <v>3492</v>
      </c>
      <c r="E515" s="8" t="s">
        <v>3493</v>
      </c>
      <c r="F515" s="8" t="s">
        <v>2245</v>
      </c>
      <c r="G515" s="6" t="s">
        <v>90</v>
      </c>
      <c r="H515" s="6" t="s">
        <v>54</v>
      </c>
      <c r="I515" s="8" t="s">
        <v>40</v>
      </c>
      <c r="J515" s="9">
        <v>1</v>
      </c>
      <c r="K515" s="9">
        <v>209</v>
      </c>
      <c r="L515" s="9">
        <v>2026</v>
      </c>
      <c r="M515" s="8" t="s">
        <v>3494</v>
      </c>
      <c r="N515" s="8" t="s">
        <v>42</v>
      </c>
      <c r="O515" s="8" t="s">
        <v>43</v>
      </c>
      <c r="P515" s="6" t="s">
        <v>44</v>
      </c>
      <c r="Q515" s="8" t="s">
        <v>45</v>
      </c>
      <c r="R515" s="10" t="s">
        <v>3495</v>
      </c>
      <c r="S515" s="11" t="s">
        <v>3496</v>
      </c>
      <c r="T515" s="6"/>
      <c r="U515" s="24" t="str">
        <f>HYPERLINK("https://media.infra-m.ru/2216/2216350/cover/2216350.jpg", "Обложка")</f>
        <v>Обложка</v>
      </c>
      <c r="V515" s="24" t="str">
        <f>HYPERLINK("https://znanium.ru/catalog/product/2216350", "Ознакомиться")</f>
        <v>Ознакомиться</v>
      </c>
      <c r="W515" s="8" t="s">
        <v>180</v>
      </c>
      <c r="X515" s="6"/>
      <c r="Y515" s="6" t="s">
        <v>30</v>
      </c>
      <c r="Z515" s="6"/>
      <c r="AA515" s="6" t="s">
        <v>500</v>
      </c>
      <c r="AB515" s="8"/>
    </row>
    <row r="516" spans="1:28" s="4" customFormat="1" ht="51.95" customHeight="1">
      <c r="A516" s="5">
        <v>0</v>
      </c>
      <c r="B516" s="6" t="s">
        <v>3497</v>
      </c>
      <c r="C516" s="7">
        <v>1430</v>
      </c>
      <c r="D516" s="8" t="s">
        <v>3498</v>
      </c>
      <c r="E516" s="8" t="s">
        <v>3499</v>
      </c>
      <c r="F516" s="8" t="s">
        <v>3500</v>
      </c>
      <c r="G516" s="6" t="s">
        <v>90</v>
      </c>
      <c r="H516" s="6" t="s">
        <v>54</v>
      </c>
      <c r="I516" s="8" t="s">
        <v>40</v>
      </c>
      <c r="J516" s="9">
        <v>1</v>
      </c>
      <c r="K516" s="9">
        <v>267</v>
      </c>
      <c r="L516" s="9">
        <v>2026</v>
      </c>
      <c r="M516" s="8" t="s">
        <v>3501</v>
      </c>
      <c r="N516" s="8" t="s">
        <v>125</v>
      </c>
      <c r="O516" s="8" t="s">
        <v>1630</v>
      </c>
      <c r="P516" s="6" t="s">
        <v>44</v>
      </c>
      <c r="Q516" s="8" t="s">
        <v>45</v>
      </c>
      <c r="R516" s="10" t="s">
        <v>464</v>
      </c>
      <c r="S516" s="11"/>
      <c r="T516" s="6"/>
      <c r="U516" s="24" t="str">
        <f>HYPERLINK("https://media.infra-m.ru/2217/2217586/cover/2217586.jpg", "Обложка")</f>
        <v>Обложка</v>
      </c>
      <c r="V516" s="24" t="str">
        <f>HYPERLINK("https://znanium.ru/catalog/product/2217586", "Ознакомиться")</f>
        <v>Ознакомиться</v>
      </c>
      <c r="W516" s="8" t="s">
        <v>1864</v>
      </c>
      <c r="X516" s="6"/>
      <c r="Y516" s="6"/>
      <c r="Z516" s="6"/>
      <c r="AA516" s="6" t="s">
        <v>102</v>
      </c>
      <c r="AB516" s="8"/>
    </row>
    <row r="517" spans="1:28" s="4" customFormat="1" ht="51.95" customHeight="1">
      <c r="A517" s="5">
        <v>0</v>
      </c>
      <c r="B517" s="6" t="s">
        <v>3502</v>
      </c>
      <c r="C517" s="7">
        <v>1440</v>
      </c>
      <c r="D517" s="8" t="s">
        <v>3503</v>
      </c>
      <c r="E517" s="8" t="s">
        <v>3504</v>
      </c>
      <c r="F517" s="8" t="s">
        <v>3505</v>
      </c>
      <c r="G517" s="6" t="s">
        <v>90</v>
      </c>
      <c r="H517" s="6" t="s">
        <v>982</v>
      </c>
      <c r="I517" s="8"/>
      <c r="J517" s="9">
        <v>1</v>
      </c>
      <c r="K517" s="9">
        <v>288</v>
      </c>
      <c r="L517" s="9">
        <v>2024</v>
      </c>
      <c r="M517" s="8" t="s">
        <v>3506</v>
      </c>
      <c r="N517" s="8" t="s">
        <v>125</v>
      </c>
      <c r="O517" s="8" t="s">
        <v>1630</v>
      </c>
      <c r="P517" s="6" t="s">
        <v>58</v>
      </c>
      <c r="Q517" s="8" t="s">
        <v>45</v>
      </c>
      <c r="R517" s="10" t="s">
        <v>3507</v>
      </c>
      <c r="S517" s="11" t="s">
        <v>3508</v>
      </c>
      <c r="T517" s="6"/>
      <c r="U517" s="24" t="str">
        <f>HYPERLINK("https://media.infra-m.ru/2125/2125913/cover/2125913.jpg", "Обложка")</f>
        <v>Обложка</v>
      </c>
      <c r="V517" s="24" t="str">
        <f>HYPERLINK("https://znanium.ru/catalog/product/2125913", "Ознакомиться")</f>
        <v>Ознакомиться</v>
      </c>
      <c r="W517" s="8" t="s">
        <v>442</v>
      </c>
      <c r="X517" s="6"/>
      <c r="Y517" s="6" t="s">
        <v>30</v>
      </c>
      <c r="Z517" s="6"/>
      <c r="AA517" s="6" t="s">
        <v>313</v>
      </c>
      <c r="AB517" s="8"/>
    </row>
    <row r="518" spans="1:28" s="4" customFormat="1" ht="51.95" customHeight="1">
      <c r="A518" s="5">
        <v>0</v>
      </c>
      <c r="B518" s="6" t="s">
        <v>3509</v>
      </c>
      <c r="C518" s="7">
        <v>1584</v>
      </c>
      <c r="D518" s="8" t="s">
        <v>3510</v>
      </c>
      <c r="E518" s="8" t="s">
        <v>3511</v>
      </c>
      <c r="F518" s="8" t="s">
        <v>3205</v>
      </c>
      <c r="G518" s="6" t="s">
        <v>38</v>
      </c>
      <c r="H518" s="6" t="s">
        <v>299</v>
      </c>
      <c r="I518" s="8" t="s">
        <v>40</v>
      </c>
      <c r="J518" s="9">
        <v>1</v>
      </c>
      <c r="K518" s="9">
        <v>304</v>
      </c>
      <c r="L518" s="9">
        <v>2025</v>
      </c>
      <c r="M518" s="8" t="s">
        <v>3512</v>
      </c>
      <c r="N518" s="8" t="s">
        <v>125</v>
      </c>
      <c r="O518" s="8" t="s">
        <v>1630</v>
      </c>
      <c r="P518" s="6" t="s">
        <v>44</v>
      </c>
      <c r="Q518" s="8" t="s">
        <v>45</v>
      </c>
      <c r="R518" s="10" t="s">
        <v>3513</v>
      </c>
      <c r="S518" s="11" t="s">
        <v>1112</v>
      </c>
      <c r="T518" s="6"/>
      <c r="U518" s="24" t="str">
        <f>HYPERLINK("https://media.infra-m.ru/2202/2202174/cover/2202174.jpg", "Обложка")</f>
        <v>Обложка</v>
      </c>
      <c r="V518" s="24" t="str">
        <f>HYPERLINK("https://znanium.ru/catalog/product/1141806", "Ознакомиться")</f>
        <v>Ознакомиться</v>
      </c>
      <c r="W518" s="8" t="s">
        <v>466</v>
      </c>
      <c r="X518" s="6"/>
      <c r="Y518" s="6" t="s">
        <v>30</v>
      </c>
      <c r="Z518" s="6"/>
      <c r="AA518" s="6" t="s">
        <v>3514</v>
      </c>
      <c r="AB518" s="8"/>
    </row>
    <row r="519" spans="1:28" s="4" customFormat="1" ht="51.95" customHeight="1">
      <c r="A519" s="5">
        <v>0</v>
      </c>
      <c r="B519" s="6" t="s">
        <v>3515</v>
      </c>
      <c r="C519" s="7">
        <v>1780</v>
      </c>
      <c r="D519" s="8" t="s">
        <v>3516</v>
      </c>
      <c r="E519" s="8" t="s">
        <v>3504</v>
      </c>
      <c r="F519" s="8" t="s">
        <v>3517</v>
      </c>
      <c r="G519" s="6" t="s">
        <v>90</v>
      </c>
      <c r="H519" s="6" t="s">
        <v>54</v>
      </c>
      <c r="I519" s="8" t="s">
        <v>40</v>
      </c>
      <c r="J519" s="9">
        <v>1</v>
      </c>
      <c r="K519" s="9">
        <v>342</v>
      </c>
      <c r="L519" s="9">
        <v>2025</v>
      </c>
      <c r="M519" s="8" t="s">
        <v>3518</v>
      </c>
      <c r="N519" s="8" t="s">
        <v>125</v>
      </c>
      <c r="O519" s="8" t="s">
        <v>1630</v>
      </c>
      <c r="P519" s="6" t="s">
        <v>44</v>
      </c>
      <c r="Q519" s="8" t="s">
        <v>45</v>
      </c>
      <c r="R519" s="10" t="s">
        <v>464</v>
      </c>
      <c r="S519" s="11" t="s">
        <v>1106</v>
      </c>
      <c r="T519" s="6"/>
      <c r="U519" s="24" t="str">
        <f>HYPERLINK("https://media.infra-m.ru/2181/2181293/cover/2181293.jpg", "Обложка")</f>
        <v>Обложка</v>
      </c>
      <c r="V519" s="24" t="str">
        <f>HYPERLINK("https://znanium.ru/catalog/product/2181293", "Ознакомиться")</f>
        <v>Ознакомиться</v>
      </c>
      <c r="W519" s="8" t="s">
        <v>466</v>
      </c>
      <c r="X519" s="6"/>
      <c r="Y519" s="6"/>
      <c r="Z519" s="6"/>
      <c r="AA519" s="6" t="s">
        <v>1547</v>
      </c>
      <c r="AB519" s="8"/>
    </row>
    <row r="520" spans="1:28" s="4" customFormat="1" ht="51.95" customHeight="1">
      <c r="A520" s="5">
        <v>0</v>
      </c>
      <c r="B520" s="6" t="s">
        <v>3519</v>
      </c>
      <c r="C520" s="7">
        <v>1494</v>
      </c>
      <c r="D520" s="8" t="s">
        <v>3520</v>
      </c>
      <c r="E520" s="8" t="s">
        <v>3511</v>
      </c>
      <c r="F520" s="8" t="s">
        <v>3521</v>
      </c>
      <c r="G520" s="6" t="s">
        <v>90</v>
      </c>
      <c r="H520" s="6" t="s">
        <v>134</v>
      </c>
      <c r="I520" s="8" t="s">
        <v>40</v>
      </c>
      <c r="J520" s="9">
        <v>1</v>
      </c>
      <c r="K520" s="9">
        <v>272</v>
      </c>
      <c r="L520" s="9">
        <v>2026</v>
      </c>
      <c r="M520" s="8" t="s">
        <v>3522</v>
      </c>
      <c r="N520" s="8" t="s">
        <v>125</v>
      </c>
      <c r="O520" s="8" t="s">
        <v>1630</v>
      </c>
      <c r="P520" s="6" t="s">
        <v>44</v>
      </c>
      <c r="Q520" s="8" t="s">
        <v>45</v>
      </c>
      <c r="R520" s="10" t="s">
        <v>3523</v>
      </c>
      <c r="S520" s="11" t="s">
        <v>3524</v>
      </c>
      <c r="T520" s="6"/>
      <c r="U520" s="24" t="str">
        <f>HYPERLINK("https://media.infra-m.ru/2224/2224143/cover/2224143.jpg", "Обложка")</f>
        <v>Обложка</v>
      </c>
      <c r="V520" s="24" t="str">
        <f>HYPERLINK("https://znanium.ru/catalog/product/1048495", "Ознакомиться")</f>
        <v>Ознакомиться</v>
      </c>
      <c r="W520" s="8" t="s">
        <v>3525</v>
      </c>
      <c r="X520" s="6"/>
      <c r="Y520" s="6" t="s">
        <v>30</v>
      </c>
      <c r="Z520" s="6" t="s">
        <v>48</v>
      </c>
      <c r="AA520" s="6" t="s">
        <v>111</v>
      </c>
      <c r="AB520" s="8"/>
    </row>
    <row r="521" spans="1:28" s="4" customFormat="1" ht="51.95" customHeight="1">
      <c r="A521" s="5">
        <v>0</v>
      </c>
      <c r="B521" s="6" t="s">
        <v>3526</v>
      </c>
      <c r="C521" s="13">
        <v>984</v>
      </c>
      <c r="D521" s="8" t="s">
        <v>3527</v>
      </c>
      <c r="E521" s="8" t="s">
        <v>3511</v>
      </c>
      <c r="F521" s="8" t="s">
        <v>3528</v>
      </c>
      <c r="G521" s="6" t="s">
        <v>90</v>
      </c>
      <c r="H521" s="6" t="s">
        <v>54</v>
      </c>
      <c r="I521" s="8" t="s">
        <v>40</v>
      </c>
      <c r="J521" s="9">
        <v>1</v>
      </c>
      <c r="K521" s="9">
        <v>197</v>
      </c>
      <c r="L521" s="9">
        <v>2025</v>
      </c>
      <c r="M521" s="8" t="s">
        <v>3529</v>
      </c>
      <c r="N521" s="8" t="s">
        <v>125</v>
      </c>
      <c r="O521" s="8" t="s">
        <v>1630</v>
      </c>
      <c r="P521" s="6" t="s">
        <v>44</v>
      </c>
      <c r="Q521" s="8" t="s">
        <v>45</v>
      </c>
      <c r="R521" s="10" t="s">
        <v>3530</v>
      </c>
      <c r="S521" s="11" t="s">
        <v>3531</v>
      </c>
      <c r="T521" s="6"/>
      <c r="U521" s="24" t="str">
        <f>HYPERLINK("https://media.infra-m.ru/2180/2180063/cover/2180063.jpg", "Обложка")</f>
        <v>Обложка</v>
      </c>
      <c r="V521" s="24" t="str">
        <f>HYPERLINK("https://znanium.ru/catalog/product/2085534", "Ознакомиться")</f>
        <v>Ознакомиться</v>
      </c>
      <c r="W521" s="8" t="s">
        <v>386</v>
      </c>
      <c r="X521" s="6"/>
      <c r="Y521" s="6" t="s">
        <v>30</v>
      </c>
      <c r="Z521" s="6"/>
      <c r="AA521" s="6" t="s">
        <v>766</v>
      </c>
      <c r="AB521" s="8"/>
    </row>
    <row r="522" spans="1:28" s="4" customFormat="1" ht="51.95" customHeight="1">
      <c r="A522" s="5">
        <v>0</v>
      </c>
      <c r="B522" s="6" t="s">
        <v>3532</v>
      </c>
      <c r="C522" s="13">
        <v>844</v>
      </c>
      <c r="D522" s="8" t="s">
        <v>3533</v>
      </c>
      <c r="E522" s="8" t="s">
        <v>3534</v>
      </c>
      <c r="F522" s="8" t="s">
        <v>3535</v>
      </c>
      <c r="G522" s="6" t="s">
        <v>90</v>
      </c>
      <c r="H522" s="6" t="s">
        <v>54</v>
      </c>
      <c r="I522" s="8" t="s">
        <v>40</v>
      </c>
      <c r="J522" s="9">
        <v>1</v>
      </c>
      <c r="K522" s="9">
        <v>178</v>
      </c>
      <c r="L522" s="9">
        <v>2024</v>
      </c>
      <c r="M522" s="8" t="s">
        <v>3536</v>
      </c>
      <c r="N522" s="8" t="s">
        <v>125</v>
      </c>
      <c r="O522" s="8" t="s">
        <v>126</v>
      </c>
      <c r="P522" s="6" t="s">
        <v>44</v>
      </c>
      <c r="Q522" s="8" t="s">
        <v>45</v>
      </c>
      <c r="R522" s="10" t="s">
        <v>2515</v>
      </c>
      <c r="S522" s="11" t="s">
        <v>3537</v>
      </c>
      <c r="T522" s="6"/>
      <c r="U522" s="24" t="str">
        <f>HYPERLINK("https://media.infra-m.ru/2138/2138097/cover/2138097.jpg", "Обложка")</f>
        <v>Обложка</v>
      </c>
      <c r="V522" s="24" t="str">
        <f>HYPERLINK("https://znanium.ru/catalog/product/2138097", "Ознакомиться")</f>
        <v>Ознакомиться</v>
      </c>
      <c r="W522" s="8" t="s">
        <v>73</v>
      </c>
      <c r="X522" s="6"/>
      <c r="Y522" s="6"/>
      <c r="Z522" s="6"/>
      <c r="AA522" s="6" t="s">
        <v>2226</v>
      </c>
      <c r="AB522" s="8"/>
    </row>
    <row r="523" spans="1:28" s="4" customFormat="1" ht="51.95" customHeight="1">
      <c r="A523" s="5">
        <v>0</v>
      </c>
      <c r="B523" s="6" t="s">
        <v>3538</v>
      </c>
      <c r="C523" s="13">
        <v>550</v>
      </c>
      <c r="D523" s="8" t="s">
        <v>3539</v>
      </c>
      <c r="E523" s="8" t="s">
        <v>3540</v>
      </c>
      <c r="F523" s="8" t="s">
        <v>3535</v>
      </c>
      <c r="G523" s="6" t="s">
        <v>67</v>
      </c>
      <c r="H523" s="6" t="s">
        <v>299</v>
      </c>
      <c r="I523" s="8" t="s">
        <v>69</v>
      </c>
      <c r="J523" s="9">
        <v>1</v>
      </c>
      <c r="K523" s="9">
        <v>152</v>
      </c>
      <c r="L523" s="9">
        <v>2021</v>
      </c>
      <c r="M523" s="8" t="s">
        <v>3541</v>
      </c>
      <c r="N523" s="8" t="s">
        <v>125</v>
      </c>
      <c r="O523" s="8" t="s">
        <v>126</v>
      </c>
      <c r="P523" s="6" t="s">
        <v>44</v>
      </c>
      <c r="Q523" s="8" t="s">
        <v>45</v>
      </c>
      <c r="R523" s="10" t="s">
        <v>2515</v>
      </c>
      <c r="S523" s="11" t="s">
        <v>3542</v>
      </c>
      <c r="T523" s="6"/>
      <c r="U523" s="24" t="str">
        <f>HYPERLINK("https://media.infra-m.ru/1234/1234626/cover/1234626.jpg", "Обложка")</f>
        <v>Обложка</v>
      </c>
      <c r="V523" s="24" t="str">
        <f>HYPERLINK("https://znanium.ru/catalog/product/2138097", "Ознакомиться")</f>
        <v>Ознакомиться</v>
      </c>
      <c r="W523" s="8" t="s">
        <v>73</v>
      </c>
      <c r="X523" s="6"/>
      <c r="Y523" s="6"/>
      <c r="Z523" s="6"/>
      <c r="AA523" s="6" t="s">
        <v>147</v>
      </c>
      <c r="AB523" s="8"/>
    </row>
    <row r="524" spans="1:28" s="4" customFormat="1" ht="51.95" customHeight="1">
      <c r="A524" s="5">
        <v>0</v>
      </c>
      <c r="B524" s="6" t="s">
        <v>3543</v>
      </c>
      <c r="C524" s="7">
        <v>2370</v>
      </c>
      <c r="D524" s="8" t="s">
        <v>3544</v>
      </c>
      <c r="E524" s="8" t="s">
        <v>3545</v>
      </c>
      <c r="F524" s="8" t="s">
        <v>3546</v>
      </c>
      <c r="G524" s="6" t="s">
        <v>38</v>
      </c>
      <c r="H524" s="6" t="s">
        <v>54</v>
      </c>
      <c r="I524" s="8" t="s">
        <v>40</v>
      </c>
      <c r="J524" s="9">
        <v>1</v>
      </c>
      <c r="K524" s="9">
        <v>457</v>
      </c>
      <c r="L524" s="9">
        <v>2026</v>
      </c>
      <c r="M524" s="8" t="s">
        <v>3547</v>
      </c>
      <c r="N524" s="8" t="s">
        <v>42</v>
      </c>
      <c r="O524" s="8" t="s">
        <v>187</v>
      </c>
      <c r="P524" s="6" t="s">
        <v>58</v>
      </c>
      <c r="Q524" s="8" t="s">
        <v>45</v>
      </c>
      <c r="R524" s="10" t="s">
        <v>3548</v>
      </c>
      <c r="S524" s="11" t="s">
        <v>3549</v>
      </c>
      <c r="T524" s="6"/>
      <c r="U524" s="24" t="str">
        <f>HYPERLINK("https://media.infra-m.ru/2223/2223160/cover/2223160.jpg", "Обложка")</f>
        <v>Обложка</v>
      </c>
      <c r="V524" s="24" t="str">
        <f>HYPERLINK("https://znanium.ru/catalog/product/2223160", "Ознакомиться")</f>
        <v>Ознакомиться</v>
      </c>
      <c r="W524" s="8" t="s">
        <v>172</v>
      </c>
      <c r="X524" s="6"/>
      <c r="Y524" s="6"/>
      <c r="Z524" s="6"/>
      <c r="AA524" s="6" t="s">
        <v>835</v>
      </c>
      <c r="AB524" s="8"/>
    </row>
    <row r="525" spans="1:28" s="4" customFormat="1" ht="51.95" customHeight="1">
      <c r="A525" s="5">
        <v>0</v>
      </c>
      <c r="B525" s="6" t="s">
        <v>3550</v>
      </c>
      <c r="C525" s="7">
        <v>1630</v>
      </c>
      <c r="D525" s="8" t="s">
        <v>3551</v>
      </c>
      <c r="E525" s="8" t="s">
        <v>3552</v>
      </c>
      <c r="F525" s="8" t="s">
        <v>3553</v>
      </c>
      <c r="G525" s="6" t="s">
        <v>90</v>
      </c>
      <c r="H525" s="6" t="s">
        <v>299</v>
      </c>
      <c r="I525" s="8" t="s">
        <v>69</v>
      </c>
      <c r="J525" s="9">
        <v>1</v>
      </c>
      <c r="K525" s="9">
        <v>320</v>
      </c>
      <c r="L525" s="9">
        <v>2025</v>
      </c>
      <c r="M525" s="8" t="s">
        <v>3554</v>
      </c>
      <c r="N525" s="8" t="s">
        <v>42</v>
      </c>
      <c r="O525" s="8" t="s">
        <v>169</v>
      </c>
      <c r="P525" s="6" t="s">
        <v>58</v>
      </c>
      <c r="Q525" s="8" t="s">
        <v>45</v>
      </c>
      <c r="R525" s="10" t="s">
        <v>3555</v>
      </c>
      <c r="S525" s="11" t="s">
        <v>3556</v>
      </c>
      <c r="T525" s="6"/>
      <c r="U525" s="24" t="str">
        <f>HYPERLINK("https://media.infra-m.ru/2184/2184923/cover/2184923.jpg", "Обложка")</f>
        <v>Обложка</v>
      </c>
      <c r="V525" s="24" t="str">
        <f>HYPERLINK("https://znanium.ru/catalog/product/2184923", "Ознакомиться")</f>
        <v>Ознакомиться</v>
      </c>
      <c r="W525" s="8" t="s">
        <v>172</v>
      </c>
      <c r="X525" s="6"/>
      <c r="Y525" s="6" t="s">
        <v>30</v>
      </c>
      <c r="Z525" s="6"/>
      <c r="AA525" s="6" t="s">
        <v>181</v>
      </c>
      <c r="AB525" s="8"/>
    </row>
    <row r="526" spans="1:28" s="4" customFormat="1" ht="51.95" customHeight="1">
      <c r="A526" s="5">
        <v>0</v>
      </c>
      <c r="B526" s="6" t="s">
        <v>3557</v>
      </c>
      <c r="C526" s="7">
        <v>1844</v>
      </c>
      <c r="D526" s="8" t="s">
        <v>3558</v>
      </c>
      <c r="E526" s="8" t="s">
        <v>3552</v>
      </c>
      <c r="F526" s="8" t="s">
        <v>3559</v>
      </c>
      <c r="G526" s="6" t="s">
        <v>38</v>
      </c>
      <c r="H526" s="6" t="s">
        <v>693</v>
      </c>
      <c r="I526" s="8" t="s">
        <v>694</v>
      </c>
      <c r="J526" s="9">
        <v>1</v>
      </c>
      <c r="K526" s="9">
        <v>336</v>
      </c>
      <c r="L526" s="9">
        <v>2026</v>
      </c>
      <c r="M526" s="8" t="s">
        <v>3560</v>
      </c>
      <c r="N526" s="8" t="s">
        <v>42</v>
      </c>
      <c r="O526" s="8" t="s">
        <v>169</v>
      </c>
      <c r="P526" s="6" t="s">
        <v>44</v>
      </c>
      <c r="Q526" s="8" t="s">
        <v>45</v>
      </c>
      <c r="R526" s="10" t="s">
        <v>3561</v>
      </c>
      <c r="S526" s="11" t="s">
        <v>3562</v>
      </c>
      <c r="T526" s="6"/>
      <c r="U526" s="24" t="str">
        <f>HYPERLINK("https://media.infra-m.ru/2226/2226473/cover/2226473.jpg", "Обложка")</f>
        <v>Обложка</v>
      </c>
      <c r="V526" s="24" t="str">
        <f>HYPERLINK("https://znanium.ru/catalog/product/1082308", "Ознакомиться")</f>
        <v>Ознакомиться</v>
      </c>
      <c r="W526" s="8" t="s">
        <v>180</v>
      </c>
      <c r="X526" s="6"/>
      <c r="Y526" s="6"/>
      <c r="Z526" s="6"/>
      <c r="AA526" s="6" t="s">
        <v>835</v>
      </c>
      <c r="AB526" s="8"/>
    </row>
    <row r="527" spans="1:28" s="4" customFormat="1" ht="51.95" customHeight="1">
      <c r="A527" s="5">
        <v>0</v>
      </c>
      <c r="B527" s="6" t="s">
        <v>3563</v>
      </c>
      <c r="C527" s="7">
        <v>1592</v>
      </c>
      <c r="D527" s="8" t="s">
        <v>3564</v>
      </c>
      <c r="E527" s="8" t="s">
        <v>3565</v>
      </c>
      <c r="F527" s="8" t="s">
        <v>3566</v>
      </c>
      <c r="G527" s="6" t="s">
        <v>90</v>
      </c>
      <c r="H527" s="6" t="s">
        <v>134</v>
      </c>
      <c r="I527" s="8" t="s">
        <v>40</v>
      </c>
      <c r="J527" s="9">
        <v>1</v>
      </c>
      <c r="K527" s="9">
        <v>260</v>
      </c>
      <c r="L527" s="9">
        <v>2024</v>
      </c>
      <c r="M527" s="8" t="s">
        <v>3567</v>
      </c>
      <c r="N527" s="8" t="s">
        <v>42</v>
      </c>
      <c r="O527" s="8" t="s">
        <v>169</v>
      </c>
      <c r="P527" s="6" t="s">
        <v>44</v>
      </c>
      <c r="Q527" s="8" t="s">
        <v>45</v>
      </c>
      <c r="R527" s="10" t="s">
        <v>3568</v>
      </c>
      <c r="S527" s="11" t="s">
        <v>3569</v>
      </c>
      <c r="T527" s="6"/>
      <c r="U527" s="24" t="str">
        <f>HYPERLINK("https://media.infra-m.ru/2083/2083399/cover/2083399.jpg", "Обложка")</f>
        <v>Обложка</v>
      </c>
      <c r="V527" s="24" t="str">
        <f>HYPERLINK("https://znanium.ru/catalog/product/2083399", "Ознакомиться")</f>
        <v>Ознакомиться</v>
      </c>
      <c r="W527" s="8" t="s">
        <v>2695</v>
      </c>
      <c r="X527" s="6"/>
      <c r="Y527" s="6"/>
      <c r="Z527" s="6" t="s">
        <v>48</v>
      </c>
      <c r="AA527" s="6" t="s">
        <v>563</v>
      </c>
      <c r="AB527" s="8"/>
    </row>
    <row r="528" spans="1:28" s="4" customFormat="1" ht="51.95" customHeight="1">
      <c r="A528" s="5">
        <v>0</v>
      </c>
      <c r="B528" s="6" t="s">
        <v>3570</v>
      </c>
      <c r="C528" s="7">
        <v>2300</v>
      </c>
      <c r="D528" s="8" t="s">
        <v>3571</v>
      </c>
      <c r="E528" s="8" t="s">
        <v>3572</v>
      </c>
      <c r="F528" s="8" t="s">
        <v>3573</v>
      </c>
      <c r="G528" s="6" t="s">
        <v>38</v>
      </c>
      <c r="H528" s="6" t="s">
        <v>54</v>
      </c>
      <c r="I528" s="8" t="s">
        <v>40</v>
      </c>
      <c r="J528" s="9">
        <v>1</v>
      </c>
      <c r="K528" s="9">
        <v>440</v>
      </c>
      <c r="L528" s="9">
        <v>2026</v>
      </c>
      <c r="M528" s="8" t="s">
        <v>3574</v>
      </c>
      <c r="N528" s="8" t="s">
        <v>42</v>
      </c>
      <c r="O528" s="8" t="s">
        <v>169</v>
      </c>
      <c r="P528" s="6" t="s">
        <v>58</v>
      </c>
      <c r="Q528" s="8" t="s">
        <v>45</v>
      </c>
      <c r="R528" s="10" t="s">
        <v>3568</v>
      </c>
      <c r="S528" s="11" t="s">
        <v>213</v>
      </c>
      <c r="T528" s="6"/>
      <c r="U528" s="24" t="str">
        <f>HYPERLINK("https://media.infra-m.ru/2222/2222598/cover/2222598.jpg", "Обложка")</f>
        <v>Обложка</v>
      </c>
      <c r="V528" s="24" t="str">
        <f>HYPERLINK("https://znanium.ru/catalog/product/2222598", "Ознакомиться")</f>
        <v>Ознакомиться</v>
      </c>
      <c r="W528" s="8" t="s">
        <v>2309</v>
      </c>
      <c r="X528" s="6"/>
      <c r="Y528" s="6"/>
      <c r="Z528" s="6" t="s">
        <v>48</v>
      </c>
      <c r="AA528" s="6" t="s">
        <v>129</v>
      </c>
      <c r="AB528" s="8"/>
    </row>
    <row r="529" spans="1:28" s="4" customFormat="1" ht="51.95" customHeight="1">
      <c r="A529" s="5">
        <v>0</v>
      </c>
      <c r="B529" s="6" t="s">
        <v>3575</v>
      </c>
      <c r="C529" s="7">
        <v>2270</v>
      </c>
      <c r="D529" s="8" t="s">
        <v>3576</v>
      </c>
      <c r="E529" s="8" t="s">
        <v>3577</v>
      </c>
      <c r="F529" s="8" t="s">
        <v>3578</v>
      </c>
      <c r="G529" s="6" t="s">
        <v>38</v>
      </c>
      <c r="H529" s="6" t="s">
        <v>54</v>
      </c>
      <c r="I529" s="8" t="s">
        <v>40</v>
      </c>
      <c r="J529" s="9">
        <v>1</v>
      </c>
      <c r="K529" s="9">
        <v>435</v>
      </c>
      <c r="L529" s="9">
        <v>2025</v>
      </c>
      <c r="M529" s="8" t="s">
        <v>3579</v>
      </c>
      <c r="N529" s="8" t="s">
        <v>42</v>
      </c>
      <c r="O529" s="8" t="s">
        <v>169</v>
      </c>
      <c r="P529" s="6" t="s">
        <v>44</v>
      </c>
      <c r="Q529" s="8" t="s">
        <v>45</v>
      </c>
      <c r="R529" s="10" t="s">
        <v>3580</v>
      </c>
      <c r="S529" s="11"/>
      <c r="T529" s="6"/>
      <c r="U529" s="24" t="str">
        <f>HYPERLINK("https://media.infra-m.ru/2180/2180065/cover/2180065.jpg", "Обложка")</f>
        <v>Обложка</v>
      </c>
      <c r="V529" s="24" t="str">
        <f>HYPERLINK("https://znanium.ru/catalog/product/1114045", "Ознакомиться")</f>
        <v>Ознакомиться</v>
      </c>
      <c r="W529" s="8" t="s">
        <v>2309</v>
      </c>
      <c r="X529" s="6"/>
      <c r="Y529" s="6"/>
      <c r="Z529" s="6" t="s">
        <v>48</v>
      </c>
      <c r="AA529" s="6" t="s">
        <v>740</v>
      </c>
      <c r="AB529" s="8"/>
    </row>
    <row r="530" spans="1:28" s="4" customFormat="1" ht="51.95" customHeight="1">
      <c r="A530" s="5">
        <v>0</v>
      </c>
      <c r="B530" s="6" t="s">
        <v>3581</v>
      </c>
      <c r="C530" s="7">
        <v>1770</v>
      </c>
      <c r="D530" s="8" t="s">
        <v>3582</v>
      </c>
      <c r="E530" s="8" t="s">
        <v>3583</v>
      </c>
      <c r="F530" s="8" t="s">
        <v>3584</v>
      </c>
      <c r="G530" s="6" t="s">
        <v>90</v>
      </c>
      <c r="H530" s="6" t="s">
        <v>54</v>
      </c>
      <c r="I530" s="8" t="s">
        <v>40</v>
      </c>
      <c r="J530" s="9">
        <v>1</v>
      </c>
      <c r="K530" s="9">
        <v>336</v>
      </c>
      <c r="L530" s="9">
        <v>2026</v>
      </c>
      <c r="M530" s="8" t="s">
        <v>3585</v>
      </c>
      <c r="N530" s="8" t="s">
        <v>42</v>
      </c>
      <c r="O530" s="8" t="s">
        <v>169</v>
      </c>
      <c r="P530" s="6" t="s">
        <v>44</v>
      </c>
      <c r="Q530" s="8" t="s">
        <v>45</v>
      </c>
      <c r="R530" s="10" t="s">
        <v>3586</v>
      </c>
      <c r="S530" s="11" t="s">
        <v>3587</v>
      </c>
      <c r="T530" s="6"/>
      <c r="U530" s="24" t="str">
        <f>HYPERLINK("https://media.infra-m.ru/2220/2220588/cover/2220588.jpg", "Обложка")</f>
        <v>Обложка</v>
      </c>
      <c r="V530" s="24" t="str">
        <f>HYPERLINK("https://znanium.ru/catalog/product/2220588", "Ознакомиться")</f>
        <v>Ознакомиться</v>
      </c>
      <c r="W530" s="8" t="s">
        <v>3279</v>
      </c>
      <c r="X530" s="6"/>
      <c r="Y530" s="6"/>
      <c r="Z530" s="6" t="s">
        <v>48</v>
      </c>
      <c r="AA530" s="6" t="s">
        <v>129</v>
      </c>
      <c r="AB530" s="8"/>
    </row>
    <row r="531" spans="1:28" s="4" customFormat="1" ht="51.95" customHeight="1">
      <c r="A531" s="5">
        <v>0</v>
      </c>
      <c r="B531" s="6" t="s">
        <v>3588</v>
      </c>
      <c r="C531" s="7">
        <v>1194</v>
      </c>
      <c r="D531" s="8" t="s">
        <v>3589</v>
      </c>
      <c r="E531" s="8" t="s">
        <v>3590</v>
      </c>
      <c r="F531" s="8" t="s">
        <v>3283</v>
      </c>
      <c r="G531" s="6" t="s">
        <v>90</v>
      </c>
      <c r="H531" s="6" t="s">
        <v>299</v>
      </c>
      <c r="I531" s="8" t="s">
        <v>40</v>
      </c>
      <c r="J531" s="9">
        <v>1</v>
      </c>
      <c r="K531" s="9">
        <v>240</v>
      </c>
      <c r="L531" s="9">
        <v>2025</v>
      </c>
      <c r="M531" s="8" t="s">
        <v>3591</v>
      </c>
      <c r="N531" s="8" t="s">
        <v>1306</v>
      </c>
      <c r="O531" s="8" t="s">
        <v>1307</v>
      </c>
      <c r="P531" s="6" t="s">
        <v>44</v>
      </c>
      <c r="Q531" s="8" t="s">
        <v>45</v>
      </c>
      <c r="R531" s="10" t="s">
        <v>3592</v>
      </c>
      <c r="S531" s="11" t="s">
        <v>1909</v>
      </c>
      <c r="T531" s="6"/>
      <c r="U531" s="24" t="str">
        <f>HYPERLINK("https://media.infra-m.ru/2184/2184935/cover/2184935.jpg", "Обложка")</f>
        <v>Обложка</v>
      </c>
      <c r="V531" s="24" t="str">
        <f>HYPERLINK("https://znanium.ru/catalog/product/2116850", "Ознакомиться")</f>
        <v>Ознакомиться</v>
      </c>
      <c r="W531" s="8" t="s">
        <v>1560</v>
      </c>
      <c r="X531" s="6"/>
      <c r="Y531" s="6"/>
      <c r="Z531" s="6"/>
      <c r="AA531" s="6" t="s">
        <v>191</v>
      </c>
      <c r="AB531" s="8"/>
    </row>
    <row r="532" spans="1:28" s="4" customFormat="1" ht="42" customHeight="1">
      <c r="A532" s="5">
        <v>0</v>
      </c>
      <c r="B532" s="6" t="s">
        <v>3593</v>
      </c>
      <c r="C532" s="7">
        <v>2949</v>
      </c>
      <c r="D532" s="8" t="s">
        <v>3594</v>
      </c>
      <c r="E532" s="8" t="s">
        <v>3595</v>
      </c>
      <c r="F532" s="8" t="s">
        <v>3275</v>
      </c>
      <c r="G532" s="6" t="s">
        <v>38</v>
      </c>
      <c r="H532" s="6" t="s">
        <v>54</v>
      </c>
      <c r="I532" s="8" t="s">
        <v>40</v>
      </c>
      <c r="J532" s="9">
        <v>1</v>
      </c>
      <c r="K532" s="9">
        <v>471</v>
      </c>
      <c r="L532" s="9">
        <v>2026</v>
      </c>
      <c r="M532" s="8" t="s">
        <v>3596</v>
      </c>
      <c r="N532" s="8" t="s">
        <v>1306</v>
      </c>
      <c r="O532" s="8" t="s">
        <v>3597</v>
      </c>
      <c r="P532" s="6" t="s">
        <v>1285</v>
      </c>
      <c r="Q532" s="8" t="s">
        <v>45</v>
      </c>
      <c r="R532" s="10" t="s">
        <v>3598</v>
      </c>
      <c r="S532" s="11"/>
      <c r="T532" s="6"/>
      <c r="U532" s="24" t="str">
        <f>HYPERLINK("https://media.infra-m.ru/2196/2196566/cover/2196566.jpg", "Обложка")</f>
        <v>Обложка</v>
      </c>
      <c r="V532" s="24" t="str">
        <f>HYPERLINK("https://znanium.ru/catalog/product/2196566", "Ознакомиться")</f>
        <v>Ознакомиться</v>
      </c>
      <c r="W532" s="8" t="s">
        <v>3279</v>
      </c>
      <c r="X532" s="6" t="s">
        <v>3599</v>
      </c>
      <c r="Y532" s="6"/>
      <c r="Z532" s="6"/>
      <c r="AA532" s="6" t="s">
        <v>62</v>
      </c>
      <c r="AB532" s="8"/>
    </row>
    <row r="533" spans="1:28" s="4" customFormat="1" ht="44.1" customHeight="1">
      <c r="A533" s="5">
        <v>0</v>
      </c>
      <c r="B533" s="6" t="s">
        <v>3600</v>
      </c>
      <c r="C533" s="13">
        <v>984</v>
      </c>
      <c r="D533" s="8" t="s">
        <v>3601</v>
      </c>
      <c r="E533" s="8" t="s">
        <v>3602</v>
      </c>
      <c r="F533" s="8" t="s">
        <v>3603</v>
      </c>
      <c r="G533" s="6" t="s">
        <v>90</v>
      </c>
      <c r="H533" s="6" t="s">
        <v>54</v>
      </c>
      <c r="I533" s="8" t="s">
        <v>40</v>
      </c>
      <c r="J533" s="9">
        <v>1</v>
      </c>
      <c r="K533" s="9">
        <v>187</v>
      </c>
      <c r="L533" s="9">
        <v>2026</v>
      </c>
      <c r="M533" s="8" t="s">
        <v>3604</v>
      </c>
      <c r="N533" s="8" t="s">
        <v>1306</v>
      </c>
      <c r="O533" s="8" t="s">
        <v>3597</v>
      </c>
      <c r="P533" s="6" t="s">
        <v>44</v>
      </c>
      <c r="Q533" s="8" t="s">
        <v>45</v>
      </c>
      <c r="R533" s="10" t="s">
        <v>3277</v>
      </c>
      <c r="S533" s="11"/>
      <c r="T533" s="6"/>
      <c r="U533" s="24" t="str">
        <f>HYPERLINK("https://media.infra-m.ru/2214/2214849/cover/2214849.jpg", "Обложка")</f>
        <v>Обложка</v>
      </c>
      <c r="V533" s="24" t="str">
        <f>HYPERLINK("https://znanium.ru/catalog/product/2184928", "Ознакомиться")</f>
        <v>Ознакомиться</v>
      </c>
      <c r="W533" s="8" t="s">
        <v>3605</v>
      </c>
      <c r="X533" s="6"/>
      <c r="Y533" s="6"/>
      <c r="Z533" s="6"/>
      <c r="AA533" s="6" t="s">
        <v>362</v>
      </c>
      <c r="AB533" s="8"/>
    </row>
    <row r="534" spans="1:28" s="4" customFormat="1" ht="51.95" customHeight="1">
      <c r="A534" s="5">
        <v>0</v>
      </c>
      <c r="B534" s="6" t="s">
        <v>3606</v>
      </c>
      <c r="C534" s="7">
        <v>1650</v>
      </c>
      <c r="D534" s="8" t="s">
        <v>3607</v>
      </c>
      <c r="E534" s="8" t="s">
        <v>3608</v>
      </c>
      <c r="F534" s="8" t="s">
        <v>3609</v>
      </c>
      <c r="G534" s="6" t="s">
        <v>90</v>
      </c>
      <c r="H534" s="6" t="s">
        <v>54</v>
      </c>
      <c r="I534" s="8" t="s">
        <v>40</v>
      </c>
      <c r="J534" s="9">
        <v>1</v>
      </c>
      <c r="K534" s="9">
        <v>312</v>
      </c>
      <c r="L534" s="9">
        <v>2026</v>
      </c>
      <c r="M534" s="8" t="s">
        <v>3610</v>
      </c>
      <c r="N534" s="8" t="s">
        <v>1306</v>
      </c>
      <c r="O534" s="8" t="s">
        <v>1307</v>
      </c>
      <c r="P534" s="6" t="s">
        <v>44</v>
      </c>
      <c r="Q534" s="8" t="s">
        <v>45</v>
      </c>
      <c r="R534" s="10" t="s">
        <v>3611</v>
      </c>
      <c r="S534" s="11" t="s">
        <v>3612</v>
      </c>
      <c r="T534" s="6"/>
      <c r="U534" s="24" t="str">
        <f>HYPERLINK("https://media.infra-m.ru/2214/2214865/cover/2214865.jpg", "Обложка")</f>
        <v>Обложка</v>
      </c>
      <c r="V534" s="24" t="str">
        <f>HYPERLINK("https://znanium.ru/catalog/product/2214865", "Ознакомиться")</f>
        <v>Ознакомиться</v>
      </c>
      <c r="W534" s="8" t="s">
        <v>1560</v>
      </c>
      <c r="X534" s="6"/>
      <c r="Y534" s="6"/>
      <c r="Z534" s="6" t="s">
        <v>48</v>
      </c>
      <c r="AA534" s="6" t="s">
        <v>74</v>
      </c>
      <c r="AB534" s="8"/>
    </row>
    <row r="535" spans="1:28" s="4" customFormat="1" ht="51.95" customHeight="1">
      <c r="A535" s="5">
        <v>0</v>
      </c>
      <c r="B535" s="6" t="s">
        <v>3613</v>
      </c>
      <c r="C535" s="13">
        <v>744</v>
      </c>
      <c r="D535" s="8" t="s">
        <v>3614</v>
      </c>
      <c r="E535" s="8" t="s">
        <v>3615</v>
      </c>
      <c r="F535" s="8" t="s">
        <v>3616</v>
      </c>
      <c r="G535" s="6" t="s">
        <v>67</v>
      </c>
      <c r="H535" s="6" t="s">
        <v>54</v>
      </c>
      <c r="I535" s="8" t="s">
        <v>40</v>
      </c>
      <c r="J535" s="9">
        <v>1</v>
      </c>
      <c r="K535" s="9">
        <v>143</v>
      </c>
      <c r="L535" s="9">
        <v>2025</v>
      </c>
      <c r="M535" s="8" t="s">
        <v>3617</v>
      </c>
      <c r="N535" s="8" t="s">
        <v>42</v>
      </c>
      <c r="O535" s="8" t="s">
        <v>169</v>
      </c>
      <c r="P535" s="6" t="s">
        <v>44</v>
      </c>
      <c r="Q535" s="8" t="s">
        <v>45</v>
      </c>
      <c r="R535" s="10" t="s">
        <v>2658</v>
      </c>
      <c r="S535" s="11" t="s">
        <v>1790</v>
      </c>
      <c r="T535" s="6"/>
      <c r="U535" s="24" t="str">
        <f>HYPERLINK("https://media.infra-m.ru/2202/2202656/cover/2202656.jpg", "Обложка")</f>
        <v>Обложка</v>
      </c>
      <c r="V535" s="24" t="str">
        <f>HYPERLINK("https://znanium.ru/catalog/product/2164008", "Ознакомиться")</f>
        <v>Ознакомиться</v>
      </c>
      <c r="W535" s="8" t="s">
        <v>3618</v>
      </c>
      <c r="X535" s="6"/>
      <c r="Y535" s="6"/>
      <c r="Z535" s="6" t="s">
        <v>48</v>
      </c>
      <c r="AA535" s="6" t="s">
        <v>443</v>
      </c>
      <c r="AB535" s="8"/>
    </row>
    <row r="536" spans="1:28" s="4" customFormat="1" ht="51.95" customHeight="1">
      <c r="A536" s="5">
        <v>0</v>
      </c>
      <c r="B536" s="6" t="s">
        <v>3619</v>
      </c>
      <c r="C536" s="7">
        <v>1094</v>
      </c>
      <c r="D536" s="8" t="s">
        <v>3620</v>
      </c>
      <c r="E536" s="8" t="s">
        <v>3621</v>
      </c>
      <c r="F536" s="8" t="s">
        <v>3622</v>
      </c>
      <c r="G536" s="6" t="s">
        <v>90</v>
      </c>
      <c r="H536" s="6" t="s">
        <v>54</v>
      </c>
      <c r="I536" s="8" t="s">
        <v>40</v>
      </c>
      <c r="J536" s="9">
        <v>1</v>
      </c>
      <c r="K536" s="9">
        <v>219</v>
      </c>
      <c r="L536" s="9">
        <v>2025</v>
      </c>
      <c r="M536" s="8" t="s">
        <v>3623</v>
      </c>
      <c r="N536" s="8" t="s">
        <v>1306</v>
      </c>
      <c r="O536" s="8" t="s">
        <v>1307</v>
      </c>
      <c r="P536" s="6" t="s">
        <v>58</v>
      </c>
      <c r="Q536" s="8" t="s">
        <v>45</v>
      </c>
      <c r="R536" s="10" t="s">
        <v>3624</v>
      </c>
      <c r="S536" s="11" t="s">
        <v>3625</v>
      </c>
      <c r="T536" s="6" t="s">
        <v>118</v>
      </c>
      <c r="U536" s="24" t="str">
        <f>HYPERLINK("https://media.infra-m.ru/2186/2186887/cover/2186887.jpg", "Обложка")</f>
        <v>Обложка</v>
      </c>
      <c r="V536" s="24" t="str">
        <f>HYPERLINK("https://znanium.ru/catalog/product/2142957", "Ознакомиться")</f>
        <v>Ознакомиться</v>
      </c>
      <c r="W536" s="8" t="s">
        <v>1560</v>
      </c>
      <c r="X536" s="6"/>
      <c r="Y536" s="6"/>
      <c r="Z536" s="6" t="s">
        <v>48</v>
      </c>
      <c r="AA536" s="6" t="s">
        <v>129</v>
      </c>
      <c r="AB536" s="8"/>
    </row>
    <row r="537" spans="1:28" s="4" customFormat="1" ht="51.95" customHeight="1">
      <c r="A537" s="5">
        <v>0</v>
      </c>
      <c r="B537" s="6" t="s">
        <v>3626</v>
      </c>
      <c r="C537" s="7">
        <v>1664</v>
      </c>
      <c r="D537" s="8" t="s">
        <v>3627</v>
      </c>
      <c r="E537" s="8" t="s">
        <v>3628</v>
      </c>
      <c r="F537" s="8" t="s">
        <v>3629</v>
      </c>
      <c r="G537" s="6" t="s">
        <v>38</v>
      </c>
      <c r="H537" s="6" t="s">
        <v>299</v>
      </c>
      <c r="I537" s="8" t="s">
        <v>40</v>
      </c>
      <c r="J537" s="9">
        <v>1</v>
      </c>
      <c r="K537" s="9">
        <v>320</v>
      </c>
      <c r="L537" s="9">
        <v>2025</v>
      </c>
      <c r="M537" s="8" t="s">
        <v>3630</v>
      </c>
      <c r="N537" s="8" t="s">
        <v>42</v>
      </c>
      <c r="O537" s="8" t="s">
        <v>43</v>
      </c>
      <c r="P537" s="6" t="s">
        <v>44</v>
      </c>
      <c r="Q537" s="8" t="s">
        <v>45</v>
      </c>
      <c r="R537" s="10" t="s">
        <v>3631</v>
      </c>
      <c r="S537" s="11" t="s">
        <v>3632</v>
      </c>
      <c r="T537" s="6"/>
      <c r="U537" s="24" t="str">
        <f>HYPERLINK("https://media.infra-m.ru/2181/2181287/cover/2181287.jpg", "Обложка")</f>
        <v>Обложка</v>
      </c>
      <c r="V537" s="24" t="str">
        <f>HYPERLINK("https://znanium.ru/catalog/product/1043094", "Ознакомиться")</f>
        <v>Ознакомиться</v>
      </c>
      <c r="W537" s="8" t="s">
        <v>2152</v>
      </c>
      <c r="X537" s="6"/>
      <c r="Y537" s="6"/>
      <c r="Z537" s="6" t="s">
        <v>48</v>
      </c>
      <c r="AA537" s="6" t="s">
        <v>443</v>
      </c>
      <c r="AB537" s="8"/>
    </row>
    <row r="538" spans="1:28" s="4" customFormat="1" ht="51.95" customHeight="1">
      <c r="A538" s="5">
        <v>0</v>
      </c>
      <c r="B538" s="6" t="s">
        <v>3633</v>
      </c>
      <c r="C538" s="7">
        <v>1724</v>
      </c>
      <c r="D538" s="8" t="s">
        <v>3634</v>
      </c>
      <c r="E538" s="8" t="s">
        <v>3635</v>
      </c>
      <c r="F538" s="8" t="s">
        <v>3636</v>
      </c>
      <c r="G538" s="6" t="s">
        <v>90</v>
      </c>
      <c r="H538" s="6" t="s">
        <v>54</v>
      </c>
      <c r="I538" s="8" t="s">
        <v>40</v>
      </c>
      <c r="J538" s="9">
        <v>1</v>
      </c>
      <c r="K538" s="9">
        <v>331</v>
      </c>
      <c r="L538" s="9">
        <v>2025</v>
      </c>
      <c r="M538" s="8" t="s">
        <v>3637</v>
      </c>
      <c r="N538" s="8" t="s">
        <v>42</v>
      </c>
      <c r="O538" s="8" t="s">
        <v>43</v>
      </c>
      <c r="P538" s="6" t="s">
        <v>44</v>
      </c>
      <c r="Q538" s="8" t="s">
        <v>45</v>
      </c>
      <c r="R538" s="10" t="s">
        <v>3638</v>
      </c>
      <c r="S538" s="11" t="s">
        <v>3639</v>
      </c>
      <c r="T538" s="6"/>
      <c r="U538" s="24" t="str">
        <f>HYPERLINK("https://media.infra-m.ru/2201/2201205/cover/2201205.jpg", "Обложка")</f>
        <v>Обложка</v>
      </c>
      <c r="V538" s="24" t="str">
        <f>HYPERLINK("https://znanium.ru/catalog/product/1902833", "Ознакомиться")</f>
        <v>Ознакомиться</v>
      </c>
      <c r="W538" s="8" t="s">
        <v>3640</v>
      </c>
      <c r="X538" s="6"/>
      <c r="Y538" s="6"/>
      <c r="Z538" s="6" t="s">
        <v>48</v>
      </c>
      <c r="AA538" s="6" t="s">
        <v>740</v>
      </c>
      <c r="AB538" s="8"/>
    </row>
    <row r="539" spans="1:28" s="4" customFormat="1" ht="42" customHeight="1">
      <c r="A539" s="5">
        <v>0</v>
      </c>
      <c r="B539" s="6" t="s">
        <v>3641</v>
      </c>
      <c r="C539" s="7">
        <v>1100</v>
      </c>
      <c r="D539" s="8" t="s">
        <v>3642</v>
      </c>
      <c r="E539" s="8" t="s">
        <v>3643</v>
      </c>
      <c r="F539" s="8" t="s">
        <v>3644</v>
      </c>
      <c r="G539" s="6" t="s">
        <v>38</v>
      </c>
      <c r="H539" s="6" t="s">
        <v>54</v>
      </c>
      <c r="I539" s="8" t="s">
        <v>40</v>
      </c>
      <c r="J539" s="9">
        <v>1</v>
      </c>
      <c r="K539" s="9">
        <v>180</v>
      </c>
      <c r="L539" s="9">
        <v>2026</v>
      </c>
      <c r="M539" s="8" t="s">
        <v>3645</v>
      </c>
      <c r="N539" s="8" t="s">
        <v>56</v>
      </c>
      <c r="O539" s="8" t="s">
        <v>807</v>
      </c>
      <c r="P539" s="6" t="s">
        <v>44</v>
      </c>
      <c r="Q539" s="8" t="s">
        <v>45</v>
      </c>
      <c r="R539" s="10" t="s">
        <v>3646</v>
      </c>
      <c r="S539" s="11"/>
      <c r="T539" s="6"/>
      <c r="U539" s="24" t="str">
        <f>HYPERLINK("https://media.infra-m.ru/2195/2195140/cover/2195140.jpg", "Обложка")</f>
        <v>Обложка</v>
      </c>
      <c r="V539" s="24" t="str">
        <f>HYPERLINK("https://znanium.ru/catalog/product/2195140", "Ознакомиться")</f>
        <v>Ознакомиться</v>
      </c>
      <c r="W539" s="8" t="s">
        <v>3647</v>
      </c>
      <c r="X539" s="6" t="s">
        <v>61</v>
      </c>
      <c r="Y539" s="6"/>
      <c r="Z539" s="6"/>
      <c r="AA539" s="6" t="s">
        <v>62</v>
      </c>
      <c r="AB539" s="8"/>
    </row>
    <row r="540" spans="1:28" s="4" customFormat="1" ht="51.95" customHeight="1">
      <c r="A540" s="5">
        <v>0</v>
      </c>
      <c r="B540" s="6" t="s">
        <v>3648</v>
      </c>
      <c r="C540" s="7">
        <v>1584</v>
      </c>
      <c r="D540" s="8" t="s">
        <v>3649</v>
      </c>
      <c r="E540" s="8" t="s">
        <v>3650</v>
      </c>
      <c r="F540" s="8" t="s">
        <v>3651</v>
      </c>
      <c r="G540" s="6" t="s">
        <v>90</v>
      </c>
      <c r="H540" s="6" t="s">
        <v>299</v>
      </c>
      <c r="I540" s="8" t="s">
        <v>40</v>
      </c>
      <c r="J540" s="9">
        <v>1</v>
      </c>
      <c r="K540" s="9">
        <v>304</v>
      </c>
      <c r="L540" s="9">
        <v>2025</v>
      </c>
      <c r="M540" s="8" t="s">
        <v>3652</v>
      </c>
      <c r="N540" s="8" t="s">
        <v>125</v>
      </c>
      <c r="O540" s="8" t="s">
        <v>126</v>
      </c>
      <c r="P540" s="6" t="s">
        <v>58</v>
      </c>
      <c r="Q540" s="8" t="s">
        <v>45</v>
      </c>
      <c r="R540" s="10" t="s">
        <v>3653</v>
      </c>
      <c r="S540" s="11" t="s">
        <v>3654</v>
      </c>
      <c r="T540" s="6"/>
      <c r="U540" s="24" t="str">
        <f>HYPERLINK("https://media.infra-m.ru/2205/2205949/cover/2205949.jpg", "Обложка")</f>
        <v>Обложка</v>
      </c>
      <c r="V540" s="24" t="str">
        <f>HYPERLINK("https://znanium.ru/catalog/product/1077649", "Ознакомиться")</f>
        <v>Ознакомиться</v>
      </c>
      <c r="W540" s="8" t="s">
        <v>73</v>
      </c>
      <c r="X540" s="6"/>
      <c r="Y540" s="6"/>
      <c r="Z540" s="6" t="s">
        <v>48</v>
      </c>
      <c r="AA540" s="6" t="s">
        <v>129</v>
      </c>
      <c r="AB540" s="8"/>
    </row>
    <row r="541" spans="1:28" s="4" customFormat="1" ht="51.95" customHeight="1">
      <c r="A541" s="5">
        <v>0</v>
      </c>
      <c r="B541" s="6" t="s">
        <v>3655</v>
      </c>
      <c r="C541" s="7">
        <v>2822</v>
      </c>
      <c r="D541" s="8" t="s">
        <v>3656</v>
      </c>
      <c r="E541" s="8" t="s">
        <v>3657</v>
      </c>
      <c r="F541" s="8" t="s">
        <v>3658</v>
      </c>
      <c r="G541" s="6" t="s">
        <v>38</v>
      </c>
      <c r="H541" s="6" t="s">
        <v>299</v>
      </c>
      <c r="I541" s="8" t="s">
        <v>40</v>
      </c>
      <c r="J541" s="9">
        <v>1</v>
      </c>
      <c r="K541" s="9">
        <v>417</v>
      </c>
      <c r="L541" s="9">
        <v>2025</v>
      </c>
      <c r="M541" s="8" t="s">
        <v>3659</v>
      </c>
      <c r="N541" s="8" t="s">
        <v>42</v>
      </c>
      <c r="O541" s="8" t="s">
        <v>243</v>
      </c>
      <c r="P541" s="6" t="s">
        <v>44</v>
      </c>
      <c r="Q541" s="8" t="s">
        <v>45</v>
      </c>
      <c r="R541" s="10" t="s">
        <v>1875</v>
      </c>
      <c r="S541" s="11" t="s">
        <v>3660</v>
      </c>
      <c r="T541" s="6"/>
      <c r="U541" s="24" t="str">
        <f>HYPERLINK("https://media.infra-m.ru/2208/2208981/cover/2208981.jpg", "Обложка")</f>
        <v>Обложка</v>
      </c>
      <c r="V541" s="24" t="str">
        <f>HYPERLINK("https://znanium.ru/catalog/product/2208981", "Ознакомиться")</f>
        <v>Ознакомиться</v>
      </c>
      <c r="W541" s="8" t="s">
        <v>3661</v>
      </c>
      <c r="X541" s="6"/>
      <c r="Y541" s="6"/>
      <c r="Z541" s="6" t="s">
        <v>48</v>
      </c>
      <c r="AA541" s="6" t="s">
        <v>129</v>
      </c>
      <c r="AB541" s="8"/>
    </row>
    <row r="542" spans="1:28" s="4" customFormat="1" ht="51.95" customHeight="1">
      <c r="A542" s="5">
        <v>0</v>
      </c>
      <c r="B542" s="6" t="s">
        <v>3662</v>
      </c>
      <c r="C542" s="7">
        <v>1374</v>
      </c>
      <c r="D542" s="8" t="s">
        <v>3663</v>
      </c>
      <c r="E542" s="8" t="s">
        <v>3664</v>
      </c>
      <c r="F542" s="8" t="s">
        <v>3665</v>
      </c>
      <c r="G542" s="6" t="s">
        <v>38</v>
      </c>
      <c r="H542" s="6" t="s">
        <v>54</v>
      </c>
      <c r="I542" s="8" t="s">
        <v>40</v>
      </c>
      <c r="J542" s="9">
        <v>1</v>
      </c>
      <c r="K542" s="9">
        <v>264</v>
      </c>
      <c r="L542" s="9">
        <v>2025</v>
      </c>
      <c r="M542" s="8" t="s">
        <v>3666</v>
      </c>
      <c r="N542" s="8" t="s">
        <v>42</v>
      </c>
      <c r="O542" s="8" t="s">
        <v>1370</v>
      </c>
      <c r="P542" s="6" t="s">
        <v>44</v>
      </c>
      <c r="Q542" s="8" t="s">
        <v>45</v>
      </c>
      <c r="R542" s="10" t="s">
        <v>3667</v>
      </c>
      <c r="S542" s="11" t="s">
        <v>3668</v>
      </c>
      <c r="T542" s="6"/>
      <c r="U542" s="24" t="str">
        <f>HYPERLINK("https://media.infra-m.ru/2191/2191609/cover/2191609.jpg", "Обложка")</f>
        <v>Обложка</v>
      </c>
      <c r="V542" s="24" t="str">
        <f>HYPERLINK("https://znanium.ru/catalog/product/1020742", "Ознакомиться")</f>
        <v>Ознакомиться</v>
      </c>
      <c r="W542" s="8" t="s">
        <v>1373</v>
      </c>
      <c r="X542" s="6"/>
      <c r="Y542" s="6" t="s">
        <v>30</v>
      </c>
      <c r="Z542" s="6" t="s">
        <v>207</v>
      </c>
      <c r="AA542" s="6" t="s">
        <v>563</v>
      </c>
      <c r="AB542" s="8"/>
    </row>
    <row r="543" spans="1:28" s="4" customFormat="1" ht="51.95" customHeight="1">
      <c r="A543" s="5">
        <v>0</v>
      </c>
      <c r="B543" s="6" t="s">
        <v>3669</v>
      </c>
      <c r="C543" s="7">
        <v>1220</v>
      </c>
      <c r="D543" s="8" t="s">
        <v>3670</v>
      </c>
      <c r="E543" s="8" t="s">
        <v>3671</v>
      </c>
      <c r="F543" s="8" t="s">
        <v>3672</v>
      </c>
      <c r="G543" s="6" t="s">
        <v>90</v>
      </c>
      <c r="H543" s="6" t="s">
        <v>54</v>
      </c>
      <c r="I543" s="8" t="s">
        <v>40</v>
      </c>
      <c r="J543" s="9">
        <v>1</v>
      </c>
      <c r="K543" s="9">
        <v>224</v>
      </c>
      <c r="L543" s="9">
        <v>2026</v>
      </c>
      <c r="M543" s="8" t="s">
        <v>3673</v>
      </c>
      <c r="N543" s="8" t="s">
        <v>42</v>
      </c>
      <c r="O543" s="8" t="s">
        <v>1370</v>
      </c>
      <c r="P543" s="6" t="s">
        <v>44</v>
      </c>
      <c r="Q543" s="8" t="s">
        <v>45</v>
      </c>
      <c r="R543" s="10" t="s">
        <v>3674</v>
      </c>
      <c r="S543" s="11" t="s">
        <v>3227</v>
      </c>
      <c r="T543" s="6"/>
      <c r="U543" s="24" t="str">
        <f>HYPERLINK("https://media.infra-m.ru/2215/2215356/cover/2215356.jpg", "Обложка")</f>
        <v>Обложка</v>
      </c>
      <c r="V543" s="24" t="str">
        <f>HYPERLINK("https://znanium.ru/catalog/product/2215356", "Ознакомиться")</f>
        <v>Ознакомиться</v>
      </c>
      <c r="W543" s="8" t="s">
        <v>82</v>
      </c>
      <c r="X543" s="6"/>
      <c r="Y543" s="6" t="s">
        <v>30</v>
      </c>
      <c r="Z543" s="6"/>
      <c r="AA543" s="6" t="s">
        <v>2008</v>
      </c>
      <c r="AB543" s="8"/>
    </row>
    <row r="544" spans="1:28" s="4" customFormat="1" ht="51.95" customHeight="1">
      <c r="A544" s="5">
        <v>0</v>
      </c>
      <c r="B544" s="6" t="s">
        <v>3675</v>
      </c>
      <c r="C544" s="7">
        <v>1634</v>
      </c>
      <c r="D544" s="8" t="s">
        <v>3676</v>
      </c>
      <c r="E544" s="8" t="s">
        <v>3677</v>
      </c>
      <c r="F544" s="8" t="s">
        <v>3678</v>
      </c>
      <c r="G544" s="6" t="s">
        <v>90</v>
      </c>
      <c r="H544" s="6" t="s">
        <v>824</v>
      </c>
      <c r="I544" s="8" t="s">
        <v>40</v>
      </c>
      <c r="J544" s="9">
        <v>1</v>
      </c>
      <c r="K544" s="9">
        <v>312</v>
      </c>
      <c r="L544" s="9">
        <v>2026</v>
      </c>
      <c r="M544" s="8" t="s">
        <v>3679</v>
      </c>
      <c r="N544" s="8" t="s">
        <v>42</v>
      </c>
      <c r="O544" s="8" t="s">
        <v>1370</v>
      </c>
      <c r="P544" s="6" t="s">
        <v>58</v>
      </c>
      <c r="Q544" s="8" t="s">
        <v>45</v>
      </c>
      <c r="R544" s="10" t="s">
        <v>3680</v>
      </c>
      <c r="S544" s="11"/>
      <c r="T544" s="6"/>
      <c r="U544" s="24" t="str">
        <f>HYPERLINK("https://media.infra-m.ru/2222/2222967/cover/2222967.jpg", "Обложка")</f>
        <v>Обложка</v>
      </c>
      <c r="V544" s="24" t="str">
        <f>HYPERLINK("https://znanium.ru/catalog/product/2164371", "Ознакомиться")</f>
        <v>Ознакомиться</v>
      </c>
      <c r="W544" s="8" t="s">
        <v>1050</v>
      </c>
      <c r="X544" s="6"/>
      <c r="Y544" s="6" t="s">
        <v>30</v>
      </c>
      <c r="Z544" s="6"/>
      <c r="AA544" s="6" t="s">
        <v>766</v>
      </c>
      <c r="AB544" s="8"/>
    </row>
    <row r="545" spans="1:28" s="4" customFormat="1" ht="51.95" customHeight="1">
      <c r="A545" s="5">
        <v>0</v>
      </c>
      <c r="B545" s="6" t="s">
        <v>3681</v>
      </c>
      <c r="C545" s="7">
        <v>1944</v>
      </c>
      <c r="D545" s="8" t="s">
        <v>3682</v>
      </c>
      <c r="E545" s="8" t="s">
        <v>3683</v>
      </c>
      <c r="F545" s="8" t="s">
        <v>3684</v>
      </c>
      <c r="G545" s="6" t="s">
        <v>90</v>
      </c>
      <c r="H545" s="6" t="s">
        <v>54</v>
      </c>
      <c r="I545" s="8" t="s">
        <v>40</v>
      </c>
      <c r="J545" s="9">
        <v>1</v>
      </c>
      <c r="K545" s="9">
        <v>363</v>
      </c>
      <c r="L545" s="9">
        <v>2026</v>
      </c>
      <c r="M545" s="8" t="s">
        <v>3685</v>
      </c>
      <c r="N545" s="8" t="s">
        <v>42</v>
      </c>
      <c r="O545" s="8" t="s">
        <v>1370</v>
      </c>
      <c r="P545" s="6" t="s">
        <v>58</v>
      </c>
      <c r="Q545" s="8" t="s">
        <v>45</v>
      </c>
      <c r="R545" s="10" t="s">
        <v>3686</v>
      </c>
      <c r="S545" s="11" t="s">
        <v>93</v>
      </c>
      <c r="T545" s="6"/>
      <c r="U545" s="24" t="str">
        <f>HYPERLINK("https://media.infra-m.ru/2216/2216884/cover/2216884.jpg", "Обложка")</f>
        <v>Обложка</v>
      </c>
      <c r="V545" s="24" t="str">
        <f>HYPERLINK("https://znanium.ru/catalog/product/2210310", "Ознакомиться")</f>
        <v>Ознакомиться</v>
      </c>
      <c r="W545" s="8" t="s">
        <v>82</v>
      </c>
      <c r="X545" s="6"/>
      <c r="Y545" s="6" t="s">
        <v>30</v>
      </c>
      <c r="Z545" s="6"/>
      <c r="AA545" s="6" t="s">
        <v>362</v>
      </c>
      <c r="AB545" s="8"/>
    </row>
    <row r="546" spans="1:28" s="4" customFormat="1" ht="51.95" customHeight="1">
      <c r="A546" s="5">
        <v>0</v>
      </c>
      <c r="B546" s="6" t="s">
        <v>3687</v>
      </c>
      <c r="C546" s="7">
        <v>1870</v>
      </c>
      <c r="D546" s="8" t="s">
        <v>3688</v>
      </c>
      <c r="E546" s="8" t="s">
        <v>3689</v>
      </c>
      <c r="F546" s="8" t="s">
        <v>3690</v>
      </c>
      <c r="G546" s="6" t="s">
        <v>38</v>
      </c>
      <c r="H546" s="6" t="s">
        <v>54</v>
      </c>
      <c r="I546" s="8"/>
      <c r="J546" s="9">
        <v>1</v>
      </c>
      <c r="K546" s="9">
        <v>415</v>
      </c>
      <c r="L546" s="9">
        <v>2022</v>
      </c>
      <c r="M546" s="8" t="s">
        <v>3691</v>
      </c>
      <c r="N546" s="8" t="s">
        <v>42</v>
      </c>
      <c r="O546" s="8" t="s">
        <v>1370</v>
      </c>
      <c r="P546" s="6" t="s">
        <v>58</v>
      </c>
      <c r="Q546" s="8" t="s">
        <v>45</v>
      </c>
      <c r="R546" s="10" t="s">
        <v>3686</v>
      </c>
      <c r="S546" s="11" t="s">
        <v>93</v>
      </c>
      <c r="T546" s="6"/>
      <c r="U546" s="24" t="str">
        <f>HYPERLINK("https://media.infra-m.ru/2037/2037420/cover/2037420.jpg", "Обложка")</f>
        <v>Обложка</v>
      </c>
      <c r="V546" s="24" t="str">
        <f>HYPERLINK("https://znanium.ru/catalog/product/2210310", "Ознакомиться")</f>
        <v>Ознакомиться</v>
      </c>
      <c r="W546" s="8" t="s">
        <v>466</v>
      </c>
      <c r="X546" s="6"/>
      <c r="Y546" s="6" t="s">
        <v>30</v>
      </c>
      <c r="Z546" s="6"/>
      <c r="AA546" s="6" t="s">
        <v>988</v>
      </c>
      <c r="AB546" s="8"/>
    </row>
    <row r="547" spans="1:28" s="4" customFormat="1" ht="51.95" customHeight="1">
      <c r="A547" s="5">
        <v>0</v>
      </c>
      <c r="B547" s="6" t="s">
        <v>3692</v>
      </c>
      <c r="C547" s="7">
        <v>1084</v>
      </c>
      <c r="D547" s="8" t="s">
        <v>3693</v>
      </c>
      <c r="E547" s="8" t="s">
        <v>3694</v>
      </c>
      <c r="F547" s="8" t="s">
        <v>3695</v>
      </c>
      <c r="G547" s="6" t="s">
        <v>90</v>
      </c>
      <c r="H547" s="6" t="s">
        <v>54</v>
      </c>
      <c r="I547" s="8" t="s">
        <v>40</v>
      </c>
      <c r="J547" s="9">
        <v>1</v>
      </c>
      <c r="K547" s="9">
        <v>208</v>
      </c>
      <c r="L547" s="9">
        <v>2026</v>
      </c>
      <c r="M547" s="8" t="s">
        <v>3696</v>
      </c>
      <c r="N547" s="8" t="s">
        <v>42</v>
      </c>
      <c r="O547" s="8" t="s">
        <v>319</v>
      </c>
      <c r="P547" s="6" t="s">
        <v>44</v>
      </c>
      <c r="Q547" s="8" t="s">
        <v>45</v>
      </c>
      <c r="R547" s="10" t="s">
        <v>3697</v>
      </c>
      <c r="S547" s="11" t="s">
        <v>3698</v>
      </c>
      <c r="T547" s="6"/>
      <c r="U547" s="24" t="str">
        <f>HYPERLINK("https://media.infra-m.ru/2218/2218722/cover/2218722.jpg", "Обложка")</f>
        <v>Обложка</v>
      </c>
      <c r="V547" s="24" t="str">
        <f>HYPERLINK("https://znanium.ru/catalog/product/2215367", "Ознакомиться")</f>
        <v>Ознакомиться</v>
      </c>
      <c r="W547" s="8" t="s">
        <v>293</v>
      </c>
      <c r="X547" s="6"/>
      <c r="Y547" s="6"/>
      <c r="Z547" s="6" t="s">
        <v>48</v>
      </c>
      <c r="AA547" s="6" t="s">
        <v>129</v>
      </c>
      <c r="AB547" s="8"/>
    </row>
    <row r="548" spans="1:28" s="4" customFormat="1" ht="51.95" customHeight="1">
      <c r="A548" s="5">
        <v>0</v>
      </c>
      <c r="B548" s="6" t="s">
        <v>3699</v>
      </c>
      <c r="C548" s="7">
        <v>1924</v>
      </c>
      <c r="D548" s="8" t="s">
        <v>3700</v>
      </c>
      <c r="E548" s="8" t="s">
        <v>3701</v>
      </c>
      <c r="F548" s="8" t="s">
        <v>3702</v>
      </c>
      <c r="G548" s="6" t="s">
        <v>90</v>
      </c>
      <c r="H548" s="6" t="s">
        <v>54</v>
      </c>
      <c r="I548" s="8" t="s">
        <v>40</v>
      </c>
      <c r="J548" s="9">
        <v>1</v>
      </c>
      <c r="K548" s="9">
        <v>383</v>
      </c>
      <c r="L548" s="9">
        <v>2025</v>
      </c>
      <c r="M548" s="8" t="s">
        <v>3703</v>
      </c>
      <c r="N548" s="8" t="s">
        <v>42</v>
      </c>
      <c r="O548" s="8" t="s">
        <v>319</v>
      </c>
      <c r="P548" s="6" t="s">
        <v>58</v>
      </c>
      <c r="Q548" s="8" t="s">
        <v>45</v>
      </c>
      <c r="R548" s="10" t="s">
        <v>3704</v>
      </c>
      <c r="S548" s="11" t="s">
        <v>3705</v>
      </c>
      <c r="T548" s="6"/>
      <c r="U548" s="24" t="str">
        <f>HYPERLINK("https://media.infra-m.ru/2185/2185215/cover/2185215.jpg", "Обложка")</f>
        <v>Обложка</v>
      </c>
      <c r="V548" s="24" t="str">
        <f>HYPERLINK("https://znanium.ru/catalog/product/2160648", "Ознакомиться")</f>
        <v>Ознакомиться</v>
      </c>
      <c r="W548" s="8" t="s">
        <v>3706</v>
      </c>
      <c r="X548" s="6"/>
      <c r="Y548" s="6"/>
      <c r="Z548" s="6" t="s">
        <v>48</v>
      </c>
      <c r="AA548" s="6" t="s">
        <v>129</v>
      </c>
      <c r="AB548" s="8"/>
    </row>
    <row r="549" spans="1:28" s="4" customFormat="1" ht="51.95" customHeight="1">
      <c r="A549" s="5">
        <v>0</v>
      </c>
      <c r="B549" s="6" t="s">
        <v>3707</v>
      </c>
      <c r="C549" s="7">
        <v>1354</v>
      </c>
      <c r="D549" s="8" t="s">
        <v>3708</v>
      </c>
      <c r="E549" s="8" t="s">
        <v>3709</v>
      </c>
      <c r="F549" s="8" t="s">
        <v>3710</v>
      </c>
      <c r="G549" s="6" t="s">
        <v>38</v>
      </c>
      <c r="H549" s="6" t="s">
        <v>299</v>
      </c>
      <c r="I549" s="8" t="s">
        <v>1110</v>
      </c>
      <c r="J549" s="9">
        <v>1</v>
      </c>
      <c r="K549" s="9">
        <v>272</v>
      </c>
      <c r="L549" s="9">
        <v>2025</v>
      </c>
      <c r="M549" s="8" t="s">
        <v>3711</v>
      </c>
      <c r="N549" s="8" t="s">
        <v>42</v>
      </c>
      <c r="O549" s="8" t="s">
        <v>169</v>
      </c>
      <c r="P549" s="6" t="s">
        <v>58</v>
      </c>
      <c r="Q549" s="8" t="s">
        <v>45</v>
      </c>
      <c r="R549" s="10" t="s">
        <v>3712</v>
      </c>
      <c r="S549" s="11" t="s">
        <v>3713</v>
      </c>
      <c r="T549" s="6"/>
      <c r="U549" s="24" t="str">
        <f>HYPERLINK("https://media.infra-m.ru/2162/2162083/cover/2162083.jpg", "Обложка")</f>
        <v>Обложка</v>
      </c>
      <c r="V549" s="24" t="str">
        <f>HYPERLINK("https://znanium.ru/catalog/product/1778876", "Ознакомиться")</f>
        <v>Ознакомиться</v>
      </c>
      <c r="W549" s="8" t="s">
        <v>172</v>
      </c>
      <c r="X549" s="6"/>
      <c r="Y549" s="6"/>
      <c r="Z549" s="6"/>
      <c r="AA549" s="6" t="s">
        <v>696</v>
      </c>
      <c r="AB549" s="8"/>
    </row>
    <row r="550" spans="1:28" s="4" customFormat="1" ht="51.95" customHeight="1">
      <c r="A550" s="5">
        <v>0</v>
      </c>
      <c r="B550" s="6" t="s">
        <v>3714</v>
      </c>
      <c r="C550" s="7">
        <v>1994</v>
      </c>
      <c r="D550" s="8" t="s">
        <v>3715</v>
      </c>
      <c r="E550" s="8" t="s">
        <v>3716</v>
      </c>
      <c r="F550" s="8" t="s">
        <v>3717</v>
      </c>
      <c r="G550" s="6" t="s">
        <v>38</v>
      </c>
      <c r="H550" s="6" t="s">
        <v>54</v>
      </c>
      <c r="I550" s="8" t="s">
        <v>40</v>
      </c>
      <c r="J550" s="9">
        <v>1</v>
      </c>
      <c r="K550" s="9">
        <v>432</v>
      </c>
      <c r="L550" s="9">
        <v>2024</v>
      </c>
      <c r="M550" s="8" t="s">
        <v>3718</v>
      </c>
      <c r="N550" s="8" t="s">
        <v>42</v>
      </c>
      <c r="O550" s="8" t="s">
        <v>169</v>
      </c>
      <c r="P550" s="6" t="s">
        <v>58</v>
      </c>
      <c r="Q550" s="8" t="s">
        <v>45</v>
      </c>
      <c r="R550" s="10" t="s">
        <v>3719</v>
      </c>
      <c r="S550" s="11" t="s">
        <v>3720</v>
      </c>
      <c r="T550" s="6"/>
      <c r="U550" s="24" t="str">
        <f>HYPERLINK("https://media.infra-m.ru/1862/1862259/cover/1862259.jpg", "Обложка")</f>
        <v>Обложка</v>
      </c>
      <c r="V550" s="24" t="str">
        <f>HYPERLINK("https://znanium.ru/catalog/product/418049", "Ознакомиться")</f>
        <v>Ознакомиться</v>
      </c>
      <c r="W550" s="8"/>
      <c r="X550" s="6"/>
      <c r="Y550" s="6"/>
      <c r="Z550" s="6"/>
      <c r="AA550" s="6" t="s">
        <v>1526</v>
      </c>
      <c r="AB550" s="8"/>
    </row>
    <row r="551" spans="1:28" s="4" customFormat="1" ht="51.95" customHeight="1">
      <c r="A551" s="5">
        <v>0</v>
      </c>
      <c r="B551" s="6" t="s">
        <v>3721</v>
      </c>
      <c r="C551" s="7">
        <v>1194</v>
      </c>
      <c r="D551" s="8" t="s">
        <v>3722</v>
      </c>
      <c r="E551" s="8" t="s">
        <v>3723</v>
      </c>
      <c r="F551" s="8" t="s">
        <v>3724</v>
      </c>
      <c r="G551" s="6" t="s">
        <v>90</v>
      </c>
      <c r="H551" s="6" t="s">
        <v>39</v>
      </c>
      <c r="I551" s="8" t="s">
        <v>40</v>
      </c>
      <c r="J551" s="9">
        <v>1</v>
      </c>
      <c r="K551" s="9">
        <v>240</v>
      </c>
      <c r="L551" s="9">
        <v>2025</v>
      </c>
      <c r="M551" s="8" t="s">
        <v>3725</v>
      </c>
      <c r="N551" s="8" t="s">
        <v>42</v>
      </c>
      <c r="O551" s="8" t="s">
        <v>169</v>
      </c>
      <c r="P551" s="6" t="s">
        <v>44</v>
      </c>
      <c r="Q551" s="8" t="s">
        <v>45</v>
      </c>
      <c r="R551" s="10" t="s">
        <v>3726</v>
      </c>
      <c r="S551" s="11" t="s">
        <v>3727</v>
      </c>
      <c r="T551" s="6"/>
      <c r="U551" s="24" t="str">
        <f>HYPERLINK("https://media.infra-m.ru/2170/2170789/cover/2170789.jpg", "Обложка")</f>
        <v>Обложка</v>
      </c>
      <c r="V551" s="24" t="str">
        <f>HYPERLINK("https://znanium.ru/catalog/product/1141779", "Ознакомиться")</f>
        <v>Ознакомиться</v>
      </c>
      <c r="W551" s="8" t="s">
        <v>73</v>
      </c>
      <c r="X551" s="6"/>
      <c r="Y551" s="6" t="s">
        <v>30</v>
      </c>
      <c r="Z551" s="6"/>
      <c r="AA551" s="6" t="s">
        <v>2008</v>
      </c>
      <c r="AB551" s="8"/>
    </row>
    <row r="552" spans="1:28" s="4" customFormat="1" ht="51.95" customHeight="1">
      <c r="A552" s="5">
        <v>0</v>
      </c>
      <c r="B552" s="6" t="s">
        <v>3728</v>
      </c>
      <c r="C552" s="7">
        <v>1364</v>
      </c>
      <c r="D552" s="8" t="s">
        <v>3729</v>
      </c>
      <c r="E552" s="8" t="s">
        <v>3730</v>
      </c>
      <c r="F552" s="8" t="s">
        <v>3731</v>
      </c>
      <c r="G552" s="6" t="s">
        <v>38</v>
      </c>
      <c r="H552" s="6" t="s">
        <v>54</v>
      </c>
      <c r="I552" s="8" t="s">
        <v>40</v>
      </c>
      <c r="J552" s="9">
        <v>1</v>
      </c>
      <c r="K552" s="9">
        <v>263</v>
      </c>
      <c r="L552" s="9">
        <v>2025</v>
      </c>
      <c r="M552" s="8" t="s">
        <v>3732</v>
      </c>
      <c r="N552" s="8" t="s">
        <v>535</v>
      </c>
      <c r="O552" s="8" t="s">
        <v>544</v>
      </c>
      <c r="P552" s="6" t="s">
        <v>58</v>
      </c>
      <c r="Q552" s="8" t="s">
        <v>45</v>
      </c>
      <c r="R552" s="10" t="s">
        <v>3733</v>
      </c>
      <c r="S552" s="11" t="s">
        <v>3734</v>
      </c>
      <c r="T552" s="6" t="s">
        <v>118</v>
      </c>
      <c r="U552" s="24" t="str">
        <f>HYPERLINK("https://media.infra-m.ru/2186/2186893/cover/2186893.jpg", "Обложка")</f>
        <v>Обложка</v>
      </c>
      <c r="V552" s="24" t="str">
        <f>HYPERLINK("https://znanium.ru/catalog/product/1150324", "Ознакомиться")</f>
        <v>Ознакомиться</v>
      </c>
      <c r="W552" s="8" t="s">
        <v>547</v>
      </c>
      <c r="X552" s="6"/>
      <c r="Y552" s="6"/>
      <c r="Z552" s="6" t="s">
        <v>207</v>
      </c>
      <c r="AA552" s="6" t="s">
        <v>223</v>
      </c>
      <c r="AB552" s="8"/>
    </row>
    <row r="553" spans="1:28" s="4" customFormat="1" ht="51.95" customHeight="1">
      <c r="A553" s="5">
        <v>0</v>
      </c>
      <c r="B553" s="6" t="s">
        <v>3735</v>
      </c>
      <c r="C553" s="7">
        <v>1844</v>
      </c>
      <c r="D553" s="8" t="s">
        <v>3736</v>
      </c>
      <c r="E553" s="8" t="s">
        <v>3737</v>
      </c>
      <c r="F553" s="8" t="s">
        <v>3738</v>
      </c>
      <c r="G553" s="6" t="s">
        <v>90</v>
      </c>
      <c r="H553" s="6" t="s">
        <v>54</v>
      </c>
      <c r="I553" s="8" t="s">
        <v>40</v>
      </c>
      <c r="J553" s="9">
        <v>1</v>
      </c>
      <c r="K553" s="9">
        <v>336</v>
      </c>
      <c r="L553" s="9">
        <v>2026</v>
      </c>
      <c r="M553" s="8" t="s">
        <v>3739</v>
      </c>
      <c r="N553" s="8" t="s">
        <v>42</v>
      </c>
      <c r="O553" s="8" t="s">
        <v>43</v>
      </c>
      <c r="P553" s="6" t="s">
        <v>58</v>
      </c>
      <c r="Q553" s="8" t="s">
        <v>45</v>
      </c>
      <c r="R553" s="10" t="s">
        <v>3740</v>
      </c>
      <c r="S553" s="11" t="s">
        <v>3741</v>
      </c>
      <c r="T553" s="6" t="s">
        <v>118</v>
      </c>
      <c r="U553" s="24" t="str">
        <f>HYPERLINK("https://media.infra-m.ru/2226/2226491/cover/2226491.jpg", "Обложка")</f>
        <v>Обложка</v>
      </c>
      <c r="V553" s="24" t="str">
        <f>HYPERLINK("https://znanium.ru/catalog/product/2178801", "Ознакомиться")</f>
        <v>Ознакомиться</v>
      </c>
      <c r="W553" s="8" t="s">
        <v>818</v>
      </c>
      <c r="X553" s="6"/>
      <c r="Y553" s="6" t="s">
        <v>30</v>
      </c>
      <c r="Z553" s="6" t="s">
        <v>48</v>
      </c>
      <c r="AA553" s="6" t="s">
        <v>111</v>
      </c>
      <c r="AB553" s="8"/>
    </row>
    <row r="554" spans="1:28" s="4" customFormat="1" ht="51.95" customHeight="1">
      <c r="A554" s="5">
        <v>0</v>
      </c>
      <c r="B554" s="6" t="s">
        <v>3742</v>
      </c>
      <c r="C554" s="7">
        <v>1320</v>
      </c>
      <c r="D554" s="8" t="s">
        <v>3743</v>
      </c>
      <c r="E554" s="8" t="s">
        <v>3744</v>
      </c>
      <c r="F554" s="8" t="s">
        <v>3745</v>
      </c>
      <c r="G554" s="6" t="s">
        <v>90</v>
      </c>
      <c r="H554" s="6" t="s">
        <v>54</v>
      </c>
      <c r="I554" s="8" t="s">
        <v>40</v>
      </c>
      <c r="J554" s="9">
        <v>1</v>
      </c>
      <c r="K554" s="9">
        <v>292</v>
      </c>
      <c r="L554" s="9">
        <v>2023</v>
      </c>
      <c r="M554" s="8" t="s">
        <v>3746</v>
      </c>
      <c r="N554" s="8" t="s">
        <v>42</v>
      </c>
      <c r="O554" s="8" t="s">
        <v>219</v>
      </c>
      <c r="P554" s="6" t="s">
        <v>58</v>
      </c>
      <c r="Q554" s="8" t="s">
        <v>45</v>
      </c>
      <c r="R554" s="10" t="s">
        <v>3747</v>
      </c>
      <c r="S554" s="11" t="s">
        <v>3748</v>
      </c>
      <c r="T554" s="6"/>
      <c r="U554" s="24" t="str">
        <f>HYPERLINK("https://media.infra-m.ru/1899/1899022/cover/1899022.jpg", "Обложка")</f>
        <v>Обложка</v>
      </c>
      <c r="V554" s="24" t="str">
        <f>HYPERLINK("https://znanium.ru/catalog/product/1899022", "Ознакомиться")</f>
        <v>Ознакомиться</v>
      </c>
      <c r="W554" s="8" t="s">
        <v>3749</v>
      </c>
      <c r="X554" s="6"/>
      <c r="Y554" s="6" t="s">
        <v>30</v>
      </c>
      <c r="Z554" s="6" t="s">
        <v>48</v>
      </c>
      <c r="AA554" s="6" t="s">
        <v>740</v>
      </c>
      <c r="AB554" s="8"/>
    </row>
    <row r="555" spans="1:28" s="4" customFormat="1" ht="51.95" customHeight="1">
      <c r="A555" s="5">
        <v>0</v>
      </c>
      <c r="B555" s="6" t="s">
        <v>3750</v>
      </c>
      <c r="C555" s="7">
        <v>2300</v>
      </c>
      <c r="D555" s="8" t="s">
        <v>3751</v>
      </c>
      <c r="E555" s="8" t="s">
        <v>3752</v>
      </c>
      <c r="F555" s="8" t="s">
        <v>3753</v>
      </c>
      <c r="G555" s="6" t="s">
        <v>38</v>
      </c>
      <c r="H555" s="6" t="s">
        <v>54</v>
      </c>
      <c r="I555" s="8" t="s">
        <v>40</v>
      </c>
      <c r="J555" s="9">
        <v>1</v>
      </c>
      <c r="K555" s="9">
        <v>418</v>
      </c>
      <c r="L555" s="9">
        <v>2026</v>
      </c>
      <c r="M555" s="8" t="s">
        <v>3754</v>
      </c>
      <c r="N555" s="8" t="s">
        <v>125</v>
      </c>
      <c r="O555" s="8" t="s">
        <v>798</v>
      </c>
      <c r="P555" s="6" t="s">
        <v>44</v>
      </c>
      <c r="Q555" s="8" t="s">
        <v>45</v>
      </c>
      <c r="R555" s="10" t="s">
        <v>3755</v>
      </c>
      <c r="S555" s="11" t="s">
        <v>3756</v>
      </c>
      <c r="T555" s="6"/>
      <c r="U555" s="24" t="str">
        <f>HYPERLINK("https://media.infra-m.ru/2227/2227184/cover/2227184.jpg", "Обложка")</f>
        <v>Обложка</v>
      </c>
      <c r="V555" s="24" t="str">
        <f>HYPERLINK("https://znanium.ru/catalog/product/2227184", "Ознакомиться")</f>
        <v>Ознакомиться</v>
      </c>
      <c r="W555" s="8" t="s">
        <v>3757</v>
      </c>
      <c r="X555" s="6"/>
      <c r="Y555" s="6"/>
      <c r="Z555" s="6" t="s">
        <v>48</v>
      </c>
      <c r="AA555" s="6" t="s">
        <v>74</v>
      </c>
      <c r="AB555" s="8"/>
    </row>
    <row r="556" spans="1:28" s="4" customFormat="1" ht="51.95" customHeight="1">
      <c r="A556" s="5">
        <v>0</v>
      </c>
      <c r="B556" s="6" t="s">
        <v>3758</v>
      </c>
      <c r="C556" s="7">
        <v>1544</v>
      </c>
      <c r="D556" s="8" t="s">
        <v>3759</v>
      </c>
      <c r="E556" s="8" t="s">
        <v>3760</v>
      </c>
      <c r="F556" s="8" t="s">
        <v>3761</v>
      </c>
      <c r="G556" s="6" t="s">
        <v>90</v>
      </c>
      <c r="H556" s="6" t="s">
        <v>54</v>
      </c>
      <c r="I556" s="8" t="s">
        <v>3762</v>
      </c>
      <c r="J556" s="9">
        <v>1</v>
      </c>
      <c r="K556" s="9">
        <v>281</v>
      </c>
      <c r="L556" s="9">
        <v>2026</v>
      </c>
      <c r="M556" s="8" t="s">
        <v>3763</v>
      </c>
      <c r="N556" s="8" t="s">
        <v>125</v>
      </c>
      <c r="O556" s="8" t="s">
        <v>798</v>
      </c>
      <c r="P556" s="6" t="s">
        <v>44</v>
      </c>
      <c r="Q556" s="8" t="s">
        <v>45</v>
      </c>
      <c r="R556" s="10" t="s">
        <v>3764</v>
      </c>
      <c r="S556" s="11" t="s">
        <v>3765</v>
      </c>
      <c r="T556" s="6"/>
      <c r="U556" s="24" t="str">
        <f>HYPERLINK("https://media.infra-m.ru/2224/2224196/cover/2224196.jpg", "Обложка")</f>
        <v>Обложка</v>
      </c>
      <c r="V556" s="24" t="str">
        <f>HYPERLINK("https://znanium.ru/catalog/product/2099053", "Ознакомиться")</f>
        <v>Ознакомиться</v>
      </c>
      <c r="W556" s="8" t="s">
        <v>2695</v>
      </c>
      <c r="X556" s="6"/>
      <c r="Y556" s="6"/>
      <c r="Z556" s="6"/>
      <c r="AA556" s="6" t="s">
        <v>740</v>
      </c>
      <c r="AB556" s="8" t="s">
        <v>401</v>
      </c>
    </row>
    <row r="557" spans="1:28" s="4" customFormat="1" ht="51.95" customHeight="1">
      <c r="A557" s="5">
        <v>0</v>
      </c>
      <c r="B557" s="6" t="s">
        <v>3766</v>
      </c>
      <c r="C557" s="7">
        <v>1140</v>
      </c>
      <c r="D557" s="8" t="s">
        <v>3767</v>
      </c>
      <c r="E557" s="8" t="s">
        <v>3768</v>
      </c>
      <c r="F557" s="8" t="s">
        <v>3769</v>
      </c>
      <c r="G557" s="6" t="s">
        <v>38</v>
      </c>
      <c r="H557" s="6" t="s">
        <v>54</v>
      </c>
      <c r="I557" s="8" t="s">
        <v>40</v>
      </c>
      <c r="J557" s="9">
        <v>1</v>
      </c>
      <c r="K557" s="9">
        <v>333</v>
      </c>
      <c r="L557" s="9">
        <v>2020</v>
      </c>
      <c r="M557" s="8" t="s">
        <v>3770</v>
      </c>
      <c r="N557" s="8" t="s">
        <v>42</v>
      </c>
      <c r="O557" s="8" t="s">
        <v>43</v>
      </c>
      <c r="P557" s="6" t="s">
        <v>44</v>
      </c>
      <c r="Q557" s="8" t="s">
        <v>45</v>
      </c>
      <c r="R557" s="10" t="s">
        <v>3771</v>
      </c>
      <c r="S557" s="11" t="s">
        <v>3772</v>
      </c>
      <c r="T557" s="6"/>
      <c r="U557" s="24" t="str">
        <f>HYPERLINK("https://media.infra-m.ru/1084/1084915/cover/1084915.jpg", "Обложка")</f>
        <v>Обложка</v>
      </c>
      <c r="V557" s="24" t="str">
        <f>HYPERLINK("https://znanium.ru/catalog/product/1084915", "Ознакомиться")</f>
        <v>Ознакомиться</v>
      </c>
      <c r="W557" s="8" t="s">
        <v>2666</v>
      </c>
      <c r="X557" s="6"/>
      <c r="Y557" s="6"/>
      <c r="Z557" s="6" t="s">
        <v>48</v>
      </c>
      <c r="AA557" s="6" t="s">
        <v>740</v>
      </c>
      <c r="AB557" s="8"/>
    </row>
    <row r="558" spans="1:28" s="4" customFormat="1" ht="51.95" customHeight="1">
      <c r="A558" s="5">
        <v>0</v>
      </c>
      <c r="B558" s="6" t="s">
        <v>3773</v>
      </c>
      <c r="C558" s="7">
        <v>1700</v>
      </c>
      <c r="D558" s="8" t="s">
        <v>3774</v>
      </c>
      <c r="E558" s="8" t="s">
        <v>3775</v>
      </c>
      <c r="F558" s="8" t="s">
        <v>3776</v>
      </c>
      <c r="G558" s="6" t="s">
        <v>90</v>
      </c>
      <c r="H558" s="6" t="s">
        <v>54</v>
      </c>
      <c r="I558" s="8" t="s">
        <v>40</v>
      </c>
      <c r="J558" s="9">
        <v>1</v>
      </c>
      <c r="K558" s="9">
        <v>309</v>
      </c>
      <c r="L558" s="9">
        <v>2026</v>
      </c>
      <c r="M558" s="8" t="s">
        <v>3777</v>
      </c>
      <c r="N558" s="8" t="s">
        <v>42</v>
      </c>
      <c r="O558" s="8" t="s">
        <v>187</v>
      </c>
      <c r="P558" s="6" t="s">
        <v>44</v>
      </c>
      <c r="Q558" s="8" t="s">
        <v>45</v>
      </c>
      <c r="R558" s="10" t="s">
        <v>3778</v>
      </c>
      <c r="S558" s="11" t="s">
        <v>3779</v>
      </c>
      <c r="T558" s="6"/>
      <c r="U558" s="24" t="str">
        <f>HYPERLINK("https://media.infra-m.ru/2228/2228713/cover/2228713.jpg", "Обложка")</f>
        <v>Обложка</v>
      </c>
      <c r="V558" s="24" t="str">
        <f>HYPERLINK("https://znanium.ru/catalog/product/2228713", "Ознакомиться")</f>
        <v>Ознакомиться</v>
      </c>
      <c r="W558" s="8" t="s">
        <v>172</v>
      </c>
      <c r="X558" s="6"/>
      <c r="Y558" s="6" t="s">
        <v>30</v>
      </c>
      <c r="Z558" s="6"/>
      <c r="AA558" s="6" t="s">
        <v>261</v>
      </c>
      <c r="AB558" s="8"/>
    </row>
    <row r="559" spans="1:28" s="4" customFormat="1" ht="51.95" customHeight="1">
      <c r="A559" s="5">
        <v>0</v>
      </c>
      <c r="B559" s="6" t="s">
        <v>3780</v>
      </c>
      <c r="C559" s="7">
        <v>1180</v>
      </c>
      <c r="D559" s="8" t="s">
        <v>3781</v>
      </c>
      <c r="E559" s="8" t="s">
        <v>3782</v>
      </c>
      <c r="F559" s="8" t="s">
        <v>3776</v>
      </c>
      <c r="G559" s="6" t="s">
        <v>90</v>
      </c>
      <c r="H559" s="6" t="s">
        <v>54</v>
      </c>
      <c r="I559" s="8" t="s">
        <v>40</v>
      </c>
      <c r="J559" s="9">
        <v>1</v>
      </c>
      <c r="K559" s="9">
        <v>224</v>
      </c>
      <c r="L559" s="9">
        <v>2026</v>
      </c>
      <c r="M559" s="8" t="s">
        <v>3783</v>
      </c>
      <c r="N559" s="8" t="s">
        <v>42</v>
      </c>
      <c r="O559" s="8" t="s">
        <v>187</v>
      </c>
      <c r="P559" s="6" t="s">
        <v>44</v>
      </c>
      <c r="Q559" s="8" t="s">
        <v>45</v>
      </c>
      <c r="R559" s="10" t="s">
        <v>3784</v>
      </c>
      <c r="S559" s="11" t="s">
        <v>3785</v>
      </c>
      <c r="T559" s="6"/>
      <c r="U559" s="24" t="str">
        <f>HYPERLINK("https://media.infra-m.ru/2215/2215368/cover/2215368.jpg", "Обложка")</f>
        <v>Обложка</v>
      </c>
      <c r="V559" s="24" t="str">
        <f>HYPERLINK("https://znanium.ru/catalog/product/2215368", "Ознакомиться")</f>
        <v>Ознакомиться</v>
      </c>
      <c r="W559" s="8" t="s">
        <v>172</v>
      </c>
      <c r="X559" s="6"/>
      <c r="Y559" s="6" t="s">
        <v>30</v>
      </c>
      <c r="Z559" s="6"/>
      <c r="AA559" s="6" t="s">
        <v>261</v>
      </c>
      <c r="AB559" s="8"/>
    </row>
    <row r="560" spans="1:28" s="4" customFormat="1" ht="51.95" customHeight="1">
      <c r="A560" s="5">
        <v>0</v>
      </c>
      <c r="B560" s="6" t="s">
        <v>3786</v>
      </c>
      <c r="C560" s="7">
        <v>1404</v>
      </c>
      <c r="D560" s="8" t="s">
        <v>3787</v>
      </c>
      <c r="E560" s="8" t="s">
        <v>3788</v>
      </c>
      <c r="F560" s="8" t="s">
        <v>3789</v>
      </c>
      <c r="G560" s="6" t="s">
        <v>90</v>
      </c>
      <c r="H560" s="6" t="s">
        <v>54</v>
      </c>
      <c r="I560" s="8" t="s">
        <v>40</v>
      </c>
      <c r="J560" s="9">
        <v>1</v>
      </c>
      <c r="K560" s="9">
        <v>271</v>
      </c>
      <c r="L560" s="9">
        <v>2025</v>
      </c>
      <c r="M560" s="8" t="s">
        <v>3790</v>
      </c>
      <c r="N560" s="8" t="s">
        <v>42</v>
      </c>
      <c r="O560" s="8" t="s">
        <v>169</v>
      </c>
      <c r="P560" s="6" t="s">
        <v>44</v>
      </c>
      <c r="Q560" s="8" t="s">
        <v>45</v>
      </c>
      <c r="R560" s="10" t="s">
        <v>3791</v>
      </c>
      <c r="S560" s="11" t="s">
        <v>3792</v>
      </c>
      <c r="T560" s="6"/>
      <c r="U560" s="24" t="str">
        <f>HYPERLINK("https://media.infra-m.ru/2202/2202653/cover/2202653.jpg", "Обложка")</f>
        <v>Обложка</v>
      </c>
      <c r="V560" s="24" t="str">
        <f>HYPERLINK("https://znanium.ru/catalog/product/2174001", "Ознакомиться")</f>
        <v>Ознакомиться</v>
      </c>
      <c r="W560" s="8" t="s">
        <v>3793</v>
      </c>
      <c r="X560" s="6"/>
      <c r="Y560" s="6" t="s">
        <v>30</v>
      </c>
      <c r="Z560" s="6" t="s">
        <v>48</v>
      </c>
      <c r="AA560" s="6" t="s">
        <v>740</v>
      </c>
      <c r="AB560" s="8"/>
    </row>
    <row r="561" spans="1:28" s="4" customFormat="1" ht="51.95" customHeight="1">
      <c r="A561" s="5">
        <v>0</v>
      </c>
      <c r="B561" s="6" t="s">
        <v>3794</v>
      </c>
      <c r="C561" s="7">
        <v>2440</v>
      </c>
      <c r="D561" s="8" t="s">
        <v>3795</v>
      </c>
      <c r="E561" s="8" t="s">
        <v>3796</v>
      </c>
      <c r="F561" s="8" t="s">
        <v>424</v>
      </c>
      <c r="G561" s="6" t="s">
        <v>38</v>
      </c>
      <c r="H561" s="6" t="s">
        <v>54</v>
      </c>
      <c r="I561" s="8" t="s">
        <v>40</v>
      </c>
      <c r="J561" s="9">
        <v>1</v>
      </c>
      <c r="K561" s="9">
        <v>464</v>
      </c>
      <c r="L561" s="9">
        <v>2026</v>
      </c>
      <c r="M561" s="8" t="s">
        <v>3797</v>
      </c>
      <c r="N561" s="8" t="s">
        <v>42</v>
      </c>
      <c r="O561" s="8" t="s">
        <v>169</v>
      </c>
      <c r="P561" s="6" t="s">
        <v>44</v>
      </c>
      <c r="Q561" s="8" t="s">
        <v>45</v>
      </c>
      <c r="R561" s="10" t="s">
        <v>3798</v>
      </c>
      <c r="S561" s="11" t="s">
        <v>3799</v>
      </c>
      <c r="T561" s="6"/>
      <c r="U561" s="24" t="str">
        <f>HYPERLINK("https://media.infra-m.ru/2216/2216267/cover/2216267.jpg", "Обложка")</f>
        <v>Обложка</v>
      </c>
      <c r="V561" s="24" t="str">
        <f>HYPERLINK("https://znanium.ru/catalog/product/2216267", "Ознакомиться")</f>
        <v>Ознакомиться</v>
      </c>
      <c r="W561" s="8" t="s">
        <v>180</v>
      </c>
      <c r="X561" s="6"/>
      <c r="Y561" s="6"/>
      <c r="Z561" s="6"/>
      <c r="AA561" s="6" t="s">
        <v>2226</v>
      </c>
      <c r="AB561" s="8"/>
    </row>
    <row r="562" spans="1:28" s="4" customFormat="1" ht="51.95" customHeight="1">
      <c r="A562" s="5">
        <v>0</v>
      </c>
      <c r="B562" s="6" t="s">
        <v>3800</v>
      </c>
      <c r="C562" s="7">
        <v>1170</v>
      </c>
      <c r="D562" s="8" t="s">
        <v>3801</v>
      </c>
      <c r="E562" s="8" t="s">
        <v>3802</v>
      </c>
      <c r="F562" s="8" t="s">
        <v>3803</v>
      </c>
      <c r="G562" s="6" t="s">
        <v>38</v>
      </c>
      <c r="H562" s="6" t="s">
        <v>54</v>
      </c>
      <c r="I562" s="8" t="s">
        <v>40</v>
      </c>
      <c r="J562" s="9">
        <v>1</v>
      </c>
      <c r="K562" s="9">
        <v>307</v>
      </c>
      <c r="L562" s="9">
        <v>2022</v>
      </c>
      <c r="M562" s="8" t="s">
        <v>3804</v>
      </c>
      <c r="N562" s="8" t="s">
        <v>42</v>
      </c>
      <c r="O562" s="8" t="s">
        <v>319</v>
      </c>
      <c r="P562" s="6" t="s">
        <v>58</v>
      </c>
      <c r="Q562" s="8" t="s">
        <v>45</v>
      </c>
      <c r="R562" s="10" t="s">
        <v>3805</v>
      </c>
      <c r="S562" s="11" t="s">
        <v>3806</v>
      </c>
      <c r="T562" s="6"/>
      <c r="U562" s="24" t="str">
        <f>HYPERLINK("https://media.infra-m.ru/1831/1831934/cover/1831934.jpg", "Обложка")</f>
        <v>Обложка</v>
      </c>
      <c r="V562" s="24" t="str">
        <f>HYPERLINK("https://znanium.ru/catalog/product/1831934", "Ознакомиться")</f>
        <v>Ознакомиться</v>
      </c>
      <c r="W562" s="8" t="s">
        <v>293</v>
      </c>
      <c r="X562" s="6"/>
      <c r="Y562" s="6"/>
      <c r="Z562" s="6" t="s">
        <v>48</v>
      </c>
      <c r="AA562" s="6" t="s">
        <v>500</v>
      </c>
      <c r="AB562" s="8"/>
    </row>
    <row r="563" spans="1:28" s="4" customFormat="1" ht="51.95" customHeight="1">
      <c r="A563" s="5">
        <v>0</v>
      </c>
      <c r="B563" s="6" t="s">
        <v>3807</v>
      </c>
      <c r="C563" s="13">
        <v>610</v>
      </c>
      <c r="D563" s="8" t="s">
        <v>3808</v>
      </c>
      <c r="E563" s="8" t="s">
        <v>3809</v>
      </c>
      <c r="F563" s="8" t="s">
        <v>3810</v>
      </c>
      <c r="G563" s="6" t="s">
        <v>90</v>
      </c>
      <c r="H563" s="6" t="s">
        <v>54</v>
      </c>
      <c r="I563" s="8" t="s">
        <v>40</v>
      </c>
      <c r="J563" s="9">
        <v>1</v>
      </c>
      <c r="K563" s="9">
        <v>166</v>
      </c>
      <c r="L563" s="9">
        <v>2021</v>
      </c>
      <c r="M563" s="8" t="s">
        <v>3811</v>
      </c>
      <c r="N563" s="8" t="s">
        <v>56</v>
      </c>
      <c r="O563" s="8" t="s">
        <v>807</v>
      </c>
      <c r="P563" s="6" t="s">
        <v>1285</v>
      </c>
      <c r="Q563" s="8" t="s">
        <v>45</v>
      </c>
      <c r="R563" s="10" t="s">
        <v>3812</v>
      </c>
      <c r="S563" s="11" t="s">
        <v>3813</v>
      </c>
      <c r="T563" s="6"/>
      <c r="U563" s="24" t="str">
        <f>HYPERLINK("https://media.infra-m.ru/1203/1203960/cover/1203960.jpg", "Обложка")</f>
        <v>Обложка</v>
      </c>
      <c r="V563" s="24" t="str">
        <f>HYPERLINK("https://znanium.ru/catalog/product/1203960", "Ознакомиться")</f>
        <v>Ознакомиться</v>
      </c>
      <c r="W563" s="8" t="s">
        <v>3814</v>
      </c>
      <c r="X563" s="6"/>
      <c r="Y563" s="6"/>
      <c r="Z563" s="6" t="s">
        <v>207</v>
      </c>
      <c r="AA563" s="6" t="s">
        <v>223</v>
      </c>
      <c r="AB563" s="8"/>
    </row>
    <row r="564" spans="1:28" s="4" customFormat="1" ht="51.95" customHeight="1">
      <c r="A564" s="5">
        <v>0</v>
      </c>
      <c r="B564" s="6" t="s">
        <v>3815</v>
      </c>
      <c r="C564" s="13">
        <v>760</v>
      </c>
      <c r="D564" s="8" t="s">
        <v>3816</v>
      </c>
      <c r="E564" s="8" t="s">
        <v>3817</v>
      </c>
      <c r="F564" s="8" t="s">
        <v>3818</v>
      </c>
      <c r="G564" s="6" t="s">
        <v>90</v>
      </c>
      <c r="H564" s="6" t="s">
        <v>299</v>
      </c>
      <c r="I564" s="8" t="s">
        <v>69</v>
      </c>
      <c r="J564" s="9">
        <v>1</v>
      </c>
      <c r="K564" s="9">
        <v>223</v>
      </c>
      <c r="L564" s="9">
        <v>2020</v>
      </c>
      <c r="M564" s="8" t="s">
        <v>3819</v>
      </c>
      <c r="N564" s="8" t="s">
        <v>125</v>
      </c>
      <c r="O564" s="8" t="s">
        <v>352</v>
      </c>
      <c r="P564" s="6" t="s">
        <v>44</v>
      </c>
      <c r="Q564" s="8" t="s">
        <v>45</v>
      </c>
      <c r="R564" s="10" t="s">
        <v>108</v>
      </c>
      <c r="S564" s="11" t="s">
        <v>3820</v>
      </c>
      <c r="T564" s="6"/>
      <c r="U564" s="24" t="str">
        <f>HYPERLINK("https://media.infra-m.ru/1099/1099269/cover/1099269.jpg", "Обложка")</f>
        <v>Обложка</v>
      </c>
      <c r="V564" s="24" t="str">
        <f>HYPERLINK("https://znanium.ru/catalog/product/1099269", "Ознакомиться")</f>
        <v>Ознакомиться</v>
      </c>
      <c r="W564" s="8" t="s">
        <v>386</v>
      </c>
      <c r="X564" s="6"/>
      <c r="Y564" s="6"/>
      <c r="Z564" s="6"/>
      <c r="AA564" s="6" t="s">
        <v>387</v>
      </c>
      <c r="AB564" s="8"/>
    </row>
    <row r="565" spans="1:28" s="4" customFormat="1" ht="51.95" customHeight="1">
      <c r="A565" s="5">
        <v>0</v>
      </c>
      <c r="B565" s="6" t="s">
        <v>3821</v>
      </c>
      <c r="C565" s="7">
        <v>1114</v>
      </c>
      <c r="D565" s="8" t="s">
        <v>3822</v>
      </c>
      <c r="E565" s="8" t="s">
        <v>3823</v>
      </c>
      <c r="F565" s="8" t="s">
        <v>383</v>
      </c>
      <c r="G565" s="6" t="s">
        <v>38</v>
      </c>
      <c r="H565" s="6" t="s">
        <v>54</v>
      </c>
      <c r="I565" s="8" t="s">
        <v>40</v>
      </c>
      <c r="J565" s="9">
        <v>1</v>
      </c>
      <c r="K565" s="9">
        <v>222</v>
      </c>
      <c r="L565" s="9">
        <v>2024</v>
      </c>
      <c r="M565" s="8" t="s">
        <v>3824</v>
      </c>
      <c r="N565" s="8" t="s">
        <v>125</v>
      </c>
      <c r="O565" s="8" t="s">
        <v>352</v>
      </c>
      <c r="P565" s="6" t="s">
        <v>44</v>
      </c>
      <c r="Q565" s="8" t="s">
        <v>45</v>
      </c>
      <c r="R565" s="10" t="s">
        <v>108</v>
      </c>
      <c r="S565" s="11" t="s">
        <v>3820</v>
      </c>
      <c r="T565" s="6"/>
      <c r="U565" s="24" t="str">
        <f>HYPERLINK("https://media.infra-m.ru/1176/1176913/cover/1176913.jpg", "Обложка")</f>
        <v>Обложка</v>
      </c>
      <c r="V565" s="24" t="str">
        <f>HYPERLINK("https://znanium.ru/catalog/product/1099269", "Ознакомиться")</f>
        <v>Ознакомиться</v>
      </c>
      <c r="W565" s="8" t="s">
        <v>386</v>
      </c>
      <c r="X565" s="6"/>
      <c r="Y565" s="6"/>
      <c r="Z565" s="6"/>
      <c r="AA565" s="6" t="s">
        <v>393</v>
      </c>
      <c r="AB565" s="8"/>
    </row>
    <row r="566" spans="1:28" s="4" customFormat="1" ht="51.95" customHeight="1">
      <c r="A566" s="5">
        <v>0</v>
      </c>
      <c r="B566" s="6" t="s">
        <v>3825</v>
      </c>
      <c r="C566" s="7">
        <v>1154</v>
      </c>
      <c r="D566" s="8" t="s">
        <v>3826</v>
      </c>
      <c r="E566" s="8" t="s">
        <v>3817</v>
      </c>
      <c r="F566" s="8" t="s">
        <v>3827</v>
      </c>
      <c r="G566" s="6" t="s">
        <v>38</v>
      </c>
      <c r="H566" s="6" t="s">
        <v>54</v>
      </c>
      <c r="I566" s="8" t="s">
        <v>40</v>
      </c>
      <c r="J566" s="9">
        <v>1</v>
      </c>
      <c r="K566" s="9">
        <v>254</v>
      </c>
      <c r="L566" s="9">
        <v>2023</v>
      </c>
      <c r="M566" s="8" t="s">
        <v>3828</v>
      </c>
      <c r="N566" s="8" t="s">
        <v>125</v>
      </c>
      <c r="O566" s="8" t="s">
        <v>352</v>
      </c>
      <c r="P566" s="6" t="s">
        <v>44</v>
      </c>
      <c r="Q566" s="8" t="s">
        <v>45</v>
      </c>
      <c r="R566" s="10" t="s">
        <v>108</v>
      </c>
      <c r="S566" s="11" t="s">
        <v>3829</v>
      </c>
      <c r="T566" s="6"/>
      <c r="U566" s="24" t="str">
        <f>HYPERLINK("https://media.infra-m.ru/2021/2021431/cover/2021431.jpg", "Обложка")</f>
        <v>Обложка</v>
      </c>
      <c r="V566" s="24" t="str">
        <f>HYPERLINK("https://znanium.ru/catalog/product/1945240", "Ознакомиться")</f>
        <v>Ознакомиться</v>
      </c>
      <c r="W566" s="8" t="s">
        <v>3830</v>
      </c>
      <c r="X566" s="6"/>
      <c r="Y566" s="6"/>
      <c r="Z566" s="6" t="s">
        <v>48</v>
      </c>
      <c r="AA566" s="6" t="s">
        <v>330</v>
      </c>
      <c r="AB566" s="8"/>
    </row>
    <row r="567" spans="1:28" s="4" customFormat="1" ht="51.95" customHeight="1">
      <c r="A567" s="5">
        <v>0</v>
      </c>
      <c r="B567" s="6" t="s">
        <v>3831</v>
      </c>
      <c r="C567" s="13">
        <v>980</v>
      </c>
      <c r="D567" s="8" t="s">
        <v>3832</v>
      </c>
      <c r="E567" s="8" t="s">
        <v>3833</v>
      </c>
      <c r="F567" s="8" t="s">
        <v>3834</v>
      </c>
      <c r="G567" s="6" t="s">
        <v>38</v>
      </c>
      <c r="H567" s="6" t="s">
        <v>54</v>
      </c>
      <c r="I567" s="8" t="s">
        <v>40</v>
      </c>
      <c r="J567" s="9">
        <v>1</v>
      </c>
      <c r="K567" s="9">
        <v>209</v>
      </c>
      <c r="L567" s="9">
        <v>2023</v>
      </c>
      <c r="M567" s="8" t="s">
        <v>3835</v>
      </c>
      <c r="N567" s="8" t="s">
        <v>125</v>
      </c>
      <c r="O567" s="8" t="s">
        <v>352</v>
      </c>
      <c r="P567" s="6" t="s">
        <v>44</v>
      </c>
      <c r="Q567" s="8" t="s">
        <v>45</v>
      </c>
      <c r="R567" s="10" t="s">
        <v>108</v>
      </c>
      <c r="S567" s="11" t="s">
        <v>3836</v>
      </c>
      <c r="T567" s="6"/>
      <c r="U567" s="24" t="str">
        <f>HYPERLINK("https://media.infra-m.ru/1903/1903981/cover/1903981.jpg", "Обложка")</f>
        <v>Обложка</v>
      </c>
      <c r="V567" s="24" t="str">
        <f>HYPERLINK("https://znanium.ru/catalog/product/1903981", "Ознакомиться")</f>
        <v>Ознакомиться</v>
      </c>
      <c r="W567" s="8" t="s">
        <v>3837</v>
      </c>
      <c r="X567" s="6"/>
      <c r="Y567" s="6"/>
      <c r="Z567" s="6" t="s">
        <v>48</v>
      </c>
      <c r="AA567" s="6" t="s">
        <v>102</v>
      </c>
      <c r="AB567" s="8"/>
    </row>
    <row r="568" spans="1:28" s="4" customFormat="1" ht="51.95" customHeight="1">
      <c r="A568" s="5">
        <v>0</v>
      </c>
      <c r="B568" s="6" t="s">
        <v>3838</v>
      </c>
      <c r="C568" s="13">
        <v>984</v>
      </c>
      <c r="D568" s="8" t="s">
        <v>3839</v>
      </c>
      <c r="E568" s="8" t="s">
        <v>3840</v>
      </c>
      <c r="F568" s="8" t="s">
        <v>3841</v>
      </c>
      <c r="G568" s="6" t="s">
        <v>90</v>
      </c>
      <c r="H568" s="6" t="s">
        <v>54</v>
      </c>
      <c r="I568" s="8" t="s">
        <v>1283</v>
      </c>
      <c r="J568" s="9">
        <v>1</v>
      </c>
      <c r="K568" s="9">
        <v>167</v>
      </c>
      <c r="L568" s="9">
        <v>2026</v>
      </c>
      <c r="M568" s="8" t="s">
        <v>3842</v>
      </c>
      <c r="N568" s="8" t="s">
        <v>42</v>
      </c>
      <c r="O568" s="8" t="s">
        <v>243</v>
      </c>
      <c r="P568" s="6" t="s">
        <v>71</v>
      </c>
      <c r="Q568" s="8" t="s">
        <v>45</v>
      </c>
      <c r="R568" s="10" t="s">
        <v>3843</v>
      </c>
      <c r="S568" s="11" t="s">
        <v>3844</v>
      </c>
      <c r="T568" s="6"/>
      <c r="U568" s="24" t="str">
        <f>HYPERLINK("https://media.infra-m.ru/2226/2226755/cover/2226755.jpg", "Обложка")</f>
        <v>Обложка</v>
      </c>
      <c r="V568" s="12"/>
      <c r="W568" s="8" t="s">
        <v>1384</v>
      </c>
      <c r="X568" s="6"/>
      <c r="Y568" s="6"/>
      <c r="Z568" s="6" t="s">
        <v>207</v>
      </c>
      <c r="AA568" s="6" t="s">
        <v>223</v>
      </c>
      <c r="AB568" s="8"/>
    </row>
    <row r="569" spans="1:28" s="4" customFormat="1" ht="51.95" customHeight="1">
      <c r="A569" s="5">
        <v>0</v>
      </c>
      <c r="B569" s="6" t="s">
        <v>3845</v>
      </c>
      <c r="C569" s="13">
        <v>574.9</v>
      </c>
      <c r="D569" s="8" t="s">
        <v>3846</v>
      </c>
      <c r="E569" s="8" t="s">
        <v>3847</v>
      </c>
      <c r="F569" s="8" t="s">
        <v>3848</v>
      </c>
      <c r="G569" s="6" t="s">
        <v>67</v>
      </c>
      <c r="H569" s="6" t="s">
        <v>39</v>
      </c>
      <c r="I569" s="8" t="s">
        <v>40</v>
      </c>
      <c r="J569" s="9">
        <v>1</v>
      </c>
      <c r="K569" s="9">
        <v>127</v>
      </c>
      <c r="L569" s="9">
        <v>2023</v>
      </c>
      <c r="M569" s="8" t="s">
        <v>3849</v>
      </c>
      <c r="N569" s="8" t="s">
        <v>42</v>
      </c>
      <c r="O569" s="8" t="s">
        <v>169</v>
      </c>
      <c r="P569" s="6" t="s">
        <v>44</v>
      </c>
      <c r="Q569" s="8" t="s">
        <v>45</v>
      </c>
      <c r="R569" s="10" t="s">
        <v>3850</v>
      </c>
      <c r="S569" s="11" t="s">
        <v>3851</v>
      </c>
      <c r="T569" s="6"/>
      <c r="U569" s="24" t="str">
        <f>HYPERLINK("https://media.infra-m.ru/2021/2021432/cover/2021432.jpg", "Обложка")</f>
        <v>Обложка</v>
      </c>
      <c r="V569" s="24" t="str">
        <f>HYPERLINK("https://znanium.ru/catalog/product/1851654", "Ознакомиться")</f>
        <v>Ознакомиться</v>
      </c>
      <c r="W569" s="8" t="s">
        <v>3009</v>
      </c>
      <c r="X569" s="6"/>
      <c r="Y569" s="6"/>
      <c r="Z569" s="6" t="s">
        <v>48</v>
      </c>
      <c r="AA569" s="6" t="s">
        <v>111</v>
      </c>
      <c r="AB569" s="8"/>
    </row>
    <row r="570" spans="1:28" s="4" customFormat="1" ht="51.95" customHeight="1">
      <c r="A570" s="5">
        <v>0</v>
      </c>
      <c r="B570" s="6" t="s">
        <v>3852</v>
      </c>
      <c r="C570" s="13">
        <v>650</v>
      </c>
      <c r="D570" s="8" t="s">
        <v>3853</v>
      </c>
      <c r="E570" s="8" t="s">
        <v>3854</v>
      </c>
      <c r="F570" s="8" t="s">
        <v>3855</v>
      </c>
      <c r="G570" s="6" t="s">
        <v>67</v>
      </c>
      <c r="H570" s="6" t="s">
        <v>68</v>
      </c>
      <c r="I570" s="8"/>
      <c r="J570" s="9">
        <v>1</v>
      </c>
      <c r="K570" s="9">
        <v>128</v>
      </c>
      <c r="L570" s="9">
        <v>2024</v>
      </c>
      <c r="M570" s="8" t="s">
        <v>3856</v>
      </c>
      <c r="N570" s="8" t="s">
        <v>125</v>
      </c>
      <c r="O570" s="8" t="s">
        <v>432</v>
      </c>
      <c r="P570" s="6" t="s">
        <v>44</v>
      </c>
      <c r="Q570" s="8" t="s">
        <v>45</v>
      </c>
      <c r="R570" s="10" t="s">
        <v>3857</v>
      </c>
      <c r="S570" s="11"/>
      <c r="T570" s="6" t="s">
        <v>118</v>
      </c>
      <c r="U570" s="24" t="str">
        <f>HYPERLINK("https://media.infra-m.ru/2068/2068173/cover/2068173.jpg", "Обложка")</f>
        <v>Обложка</v>
      </c>
      <c r="V570" s="24" t="str">
        <f>HYPERLINK("https://znanium.ru/catalog/product/2181276", "Ознакомиться")</f>
        <v>Ознакомиться</v>
      </c>
      <c r="W570" s="8" t="s">
        <v>3858</v>
      </c>
      <c r="X570" s="6"/>
      <c r="Y570" s="6"/>
      <c r="Z570" s="6"/>
      <c r="AA570" s="6" t="s">
        <v>49</v>
      </c>
      <c r="AB570" s="8"/>
    </row>
    <row r="571" spans="1:28" s="4" customFormat="1" ht="51.95" customHeight="1">
      <c r="A571" s="5">
        <v>0</v>
      </c>
      <c r="B571" s="6" t="s">
        <v>3859</v>
      </c>
      <c r="C571" s="13">
        <v>710</v>
      </c>
      <c r="D571" s="8" t="s">
        <v>3860</v>
      </c>
      <c r="E571" s="8" t="s">
        <v>3861</v>
      </c>
      <c r="F571" s="8" t="s">
        <v>3855</v>
      </c>
      <c r="G571" s="6" t="s">
        <v>67</v>
      </c>
      <c r="H571" s="6" t="s">
        <v>68</v>
      </c>
      <c r="I571" s="8"/>
      <c r="J571" s="9">
        <v>1</v>
      </c>
      <c r="K571" s="9">
        <v>129</v>
      </c>
      <c r="L571" s="9">
        <v>2025</v>
      </c>
      <c r="M571" s="8" t="s">
        <v>3862</v>
      </c>
      <c r="N571" s="8" t="s">
        <v>125</v>
      </c>
      <c r="O571" s="8" t="s">
        <v>432</v>
      </c>
      <c r="P571" s="6" t="s">
        <v>44</v>
      </c>
      <c r="Q571" s="8" t="s">
        <v>45</v>
      </c>
      <c r="R571" s="10" t="s">
        <v>3857</v>
      </c>
      <c r="S571" s="11"/>
      <c r="T571" s="6" t="s">
        <v>118</v>
      </c>
      <c r="U571" s="24" t="str">
        <f>HYPERLINK("https://media.infra-m.ru/2181/2181276/cover/2181276.jpg", "Обложка")</f>
        <v>Обложка</v>
      </c>
      <c r="V571" s="24" t="str">
        <f>HYPERLINK("https://znanium.ru/catalog/product/2181276", "Ознакомиться")</f>
        <v>Ознакомиться</v>
      </c>
      <c r="W571" s="8" t="s">
        <v>3858</v>
      </c>
      <c r="X571" s="6" t="s">
        <v>450</v>
      </c>
      <c r="Y571" s="6"/>
      <c r="Z571" s="6"/>
      <c r="AA571" s="6" t="s">
        <v>368</v>
      </c>
      <c r="AB571" s="8"/>
    </row>
    <row r="572" spans="1:28" s="4" customFormat="1" ht="51.95" customHeight="1">
      <c r="A572" s="5">
        <v>0</v>
      </c>
      <c r="B572" s="6" t="s">
        <v>3863</v>
      </c>
      <c r="C572" s="7">
        <v>1420</v>
      </c>
      <c r="D572" s="8" t="s">
        <v>3864</v>
      </c>
      <c r="E572" s="8" t="s">
        <v>3865</v>
      </c>
      <c r="F572" s="8" t="s">
        <v>3866</v>
      </c>
      <c r="G572" s="6" t="s">
        <v>90</v>
      </c>
      <c r="H572" s="6" t="s">
        <v>54</v>
      </c>
      <c r="I572" s="8" t="s">
        <v>40</v>
      </c>
      <c r="J572" s="9">
        <v>1</v>
      </c>
      <c r="K572" s="9">
        <v>272</v>
      </c>
      <c r="L572" s="9">
        <v>2025</v>
      </c>
      <c r="M572" s="8" t="s">
        <v>3867</v>
      </c>
      <c r="N572" s="8" t="s">
        <v>125</v>
      </c>
      <c r="O572" s="8" t="s">
        <v>432</v>
      </c>
      <c r="P572" s="6" t="s">
        <v>44</v>
      </c>
      <c r="Q572" s="8" t="s">
        <v>45</v>
      </c>
      <c r="R572" s="10" t="s">
        <v>3868</v>
      </c>
      <c r="S572" s="11"/>
      <c r="T572" s="6"/>
      <c r="U572" s="24" t="str">
        <f>HYPERLINK("https://media.infra-m.ru/2118/2118693/cover/2118693.jpg", "Обложка")</f>
        <v>Обложка</v>
      </c>
      <c r="V572" s="24" t="str">
        <f>HYPERLINK("https://znanium.ru/catalog/product/2118693", "Ознакомиться")</f>
        <v>Ознакомиться</v>
      </c>
      <c r="W572" s="8" t="s">
        <v>2136</v>
      </c>
      <c r="X572" s="6" t="s">
        <v>1019</v>
      </c>
      <c r="Y572" s="6"/>
      <c r="Z572" s="6" t="s">
        <v>207</v>
      </c>
      <c r="AA572" s="6" t="s">
        <v>368</v>
      </c>
      <c r="AB572" s="8"/>
    </row>
    <row r="573" spans="1:28" s="4" customFormat="1" ht="51.95" customHeight="1">
      <c r="A573" s="5">
        <v>0</v>
      </c>
      <c r="B573" s="6" t="s">
        <v>3869</v>
      </c>
      <c r="C573" s="13">
        <v>450</v>
      </c>
      <c r="D573" s="8" t="s">
        <v>3870</v>
      </c>
      <c r="E573" s="8" t="s">
        <v>3871</v>
      </c>
      <c r="F573" s="8" t="s">
        <v>3855</v>
      </c>
      <c r="G573" s="6" t="s">
        <v>67</v>
      </c>
      <c r="H573" s="6" t="s">
        <v>68</v>
      </c>
      <c r="I573" s="8"/>
      <c r="J573" s="9">
        <v>1</v>
      </c>
      <c r="K573" s="9">
        <v>118</v>
      </c>
      <c r="L573" s="9">
        <v>2020</v>
      </c>
      <c r="M573" s="8" t="s">
        <v>3872</v>
      </c>
      <c r="N573" s="8" t="s">
        <v>125</v>
      </c>
      <c r="O573" s="8" t="s">
        <v>432</v>
      </c>
      <c r="P573" s="6" t="s">
        <v>44</v>
      </c>
      <c r="Q573" s="8" t="s">
        <v>45</v>
      </c>
      <c r="R573" s="10" t="s">
        <v>3857</v>
      </c>
      <c r="S573" s="11"/>
      <c r="T573" s="6" t="s">
        <v>118</v>
      </c>
      <c r="U573" s="24" t="str">
        <f>HYPERLINK("https://media.infra-m.ru/1072/1072123/cover/1072123.jpg", "Обложка")</f>
        <v>Обложка</v>
      </c>
      <c r="V573" s="24" t="str">
        <f>HYPERLINK("https://znanium.ru/catalog/product/2181276", "Ознакомиться")</f>
        <v>Ознакомиться</v>
      </c>
      <c r="W573" s="8" t="s">
        <v>3858</v>
      </c>
      <c r="X573" s="6"/>
      <c r="Y573" s="6"/>
      <c r="Z573" s="6"/>
      <c r="AA573" s="6" t="s">
        <v>111</v>
      </c>
      <c r="AB573" s="8"/>
    </row>
    <row r="574" spans="1:28" s="4" customFormat="1" ht="51.95" customHeight="1">
      <c r="A574" s="5">
        <v>0</v>
      </c>
      <c r="B574" s="6" t="s">
        <v>3873</v>
      </c>
      <c r="C574" s="7">
        <v>1110</v>
      </c>
      <c r="D574" s="8" t="s">
        <v>3874</v>
      </c>
      <c r="E574" s="8" t="s">
        <v>3875</v>
      </c>
      <c r="F574" s="8" t="s">
        <v>3866</v>
      </c>
      <c r="G574" s="6" t="s">
        <v>90</v>
      </c>
      <c r="H574" s="6" t="s">
        <v>54</v>
      </c>
      <c r="I574" s="8" t="s">
        <v>40</v>
      </c>
      <c r="J574" s="9">
        <v>1</v>
      </c>
      <c r="K574" s="9">
        <v>309</v>
      </c>
      <c r="L574" s="9">
        <v>2021</v>
      </c>
      <c r="M574" s="8" t="s">
        <v>3876</v>
      </c>
      <c r="N574" s="8" t="s">
        <v>125</v>
      </c>
      <c r="O574" s="8" t="s">
        <v>432</v>
      </c>
      <c r="P574" s="6" t="s">
        <v>44</v>
      </c>
      <c r="Q574" s="8" t="s">
        <v>45</v>
      </c>
      <c r="R574" s="10" t="s">
        <v>3868</v>
      </c>
      <c r="S574" s="11" t="s">
        <v>3877</v>
      </c>
      <c r="T574" s="6"/>
      <c r="U574" s="24" t="str">
        <f>HYPERLINK("https://media.infra-m.ru/1168/1168490/cover/1168490.jpg", "Обложка")</f>
        <v>Обложка</v>
      </c>
      <c r="V574" s="24" t="str">
        <f>HYPERLINK("https://znanium.ru/catalog/product/2118693", "Ознакомиться")</f>
        <v>Ознакомиться</v>
      </c>
      <c r="W574" s="8" t="s">
        <v>2136</v>
      </c>
      <c r="X574" s="6"/>
      <c r="Y574" s="6"/>
      <c r="Z574" s="6" t="s">
        <v>207</v>
      </c>
      <c r="AA574" s="6" t="s">
        <v>223</v>
      </c>
      <c r="AB574" s="8"/>
    </row>
    <row r="575" spans="1:28" s="4" customFormat="1" ht="51.95" customHeight="1">
      <c r="A575" s="5">
        <v>0</v>
      </c>
      <c r="B575" s="6" t="s">
        <v>3878</v>
      </c>
      <c r="C575" s="7">
        <v>1190</v>
      </c>
      <c r="D575" s="8" t="s">
        <v>3879</v>
      </c>
      <c r="E575" s="8" t="s">
        <v>3880</v>
      </c>
      <c r="F575" s="8" t="s">
        <v>3866</v>
      </c>
      <c r="G575" s="6" t="s">
        <v>90</v>
      </c>
      <c r="H575" s="6" t="s">
        <v>54</v>
      </c>
      <c r="I575" s="8" t="s">
        <v>40</v>
      </c>
      <c r="J575" s="9">
        <v>1</v>
      </c>
      <c r="K575" s="9">
        <v>228</v>
      </c>
      <c r="L575" s="9">
        <v>2025</v>
      </c>
      <c r="M575" s="8" t="s">
        <v>3881</v>
      </c>
      <c r="N575" s="8" t="s">
        <v>125</v>
      </c>
      <c r="O575" s="8" t="s">
        <v>432</v>
      </c>
      <c r="P575" s="6" t="s">
        <v>58</v>
      </c>
      <c r="Q575" s="8" t="s">
        <v>45</v>
      </c>
      <c r="R575" s="10" t="s">
        <v>3882</v>
      </c>
      <c r="S575" s="11" t="s">
        <v>3883</v>
      </c>
      <c r="T575" s="6"/>
      <c r="U575" s="24" t="str">
        <f>HYPERLINK("https://media.infra-m.ru/2214/2214252/cover/2214252.jpg", "Обложка")</f>
        <v>Обложка</v>
      </c>
      <c r="V575" s="24" t="str">
        <f>HYPERLINK("https://znanium.ru/catalog/product/2181309", "Ознакомиться")</f>
        <v>Ознакомиться</v>
      </c>
      <c r="W575" s="8" t="s">
        <v>2136</v>
      </c>
      <c r="X575" s="6"/>
      <c r="Y575" s="6" t="s">
        <v>30</v>
      </c>
      <c r="Z575" s="6" t="s">
        <v>207</v>
      </c>
      <c r="AA575" s="6" t="s">
        <v>231</v>
      </c>
      <c r="AB575" s="8"/>
    </row>
    <row r="576" spans="1:28" s="4" customFormat="1" ht="51.95" customHeight="1">
      <c r="A576" s="5">
        <v>0</v>
      </c>
      <c r="B576" s="6" t="s">
        <v>3884</v>
      </c>
      <c r="C576" s="7">
        <v>1090</v>
      </c>
      <c r="D576" s="8" t="s">
        <v>3885</v>
      </c>
      <c r="E576" s="8" t="s">
        <v>3886</v>
      </c>
      <c r="F576" s="8" t="s">
        <v>3866</v>
      </c>
      <c r="G576" s="6" t="s">
        <v>90</v>
      </c>
      <c r="H576" s="6" t="s">
        <v>54</v>
      </c>
      <c r="I576" s="8" t="s">
        <v>40</v>
      </c>
      <c r="J576" s="9">
        <v>1</v>
      </c>
      <c r="K576" s="9">
        <v>235</v>
      </c>
      <c r="L576" s="9">
        <v>2024</v>
      </c>
      <c r="M576" s="8" t="s">
        <v>3887</v>
      </c>
      <c r="N576" s="8" t="s">
        <v>125</v>
      </c>
      <c r="O576" s="8" t="s">
        <v>432</v>
      </c>
      <c r="P576" s="6" t="s">
        <v>58</v>
      </c>
      <c r="Q576" s="8" t="s">
        <v>45</v>
      </c>
      <c r="R576" s="10" t="s">
        <v>3882</v>
      </c>
      <c r="S576" s="11" t="s">
        <v>3883</v>
      </c>
      <c r="T576" s="6"/>
      <c r="U576" s="24" t="str">
        <f>HYPERLINK("https://media.infra-m.ru/1981/1981652/cover/1981652.jpg", "Обложка")</f>
        <v>Обложка</v>
      </c>
      <c r="V576" s="24" t="str">
        <f>HYPERLINK("https://znanium.ru/catalog/product/2181309", "Ознакомиться")</f>
        <v>Ознакомиться</v>
      </c>
      <c r="W576" s="8" t="s">
        <v>2136</v>
      </c>
      <c r="X576" s="6"/>
      <c r="Y576" s="6" t="s">
        <v>30</v>
      </c>
      <c r="Z576" s="6" t="s">
        <v>207</v>
      </c>
      <c r="AA576" s="6" t="s">
        <v>223</v>
      </c>
      <c r="AB576" s="8"/>
    </row>
    <row r="577" spans="1:28" s="4" customFormat="1" ht="51.95" customHeight="1">
      <c r="A577" s="5">
        <v>0</v>
      </c>
      <c r="B577" s="6" t="s">
        <v>3888</v>
      </c>
      <c r="C577" s="7">
        <v>2034</v>
      </c>
      <c r="D577" s="8" t="s">
        <v>3889</v>
      </c>
      <c r="E577" s="8" t="s">
        <v>3886</v>
      </c>
      <c r="F577" s="8" t="s">
        <v>3890</v>
      </c>
      <c r="G577" s="6" t="s">
        <v>90</v>
      </c>
      <c r="H577" s="6" t="s">
        <v>134</v>
      </c>
      <c r="I577" s="8" t="s">
        <v>40</v>
      </c>
      <c r="J577" s="9">
        <v>1</v>
      </c>
      <c r="K577" s="9">
        <v>391</v>
      </c>
      <c r="L577" s="9">
        <v>2024</v>
      </c>
      <c r="M577" s="8" t="s">
        <v>3891</v>
      </c>
      <c r="N577" s="8" t="s">
        <v>125</v>
      </c>
      <c r="O577" s="8" t="s">
        <v>432</v>
      </c>
      <c r="P577" s="6" t="s">
        <v>44</v>
      </c>
      <c r="Q577" s="8" t="s">
        <v>45</v>
      </c>
      <c r="R577" s="10" t="s">
        <v>3892</v>
      </c>
      <c r="S577" s="11" t="s">
        <v>3893</v>
      </c>
      <c r="T577" s="6"/>
      <c r="U577" s="24" t="str">
        <f>HYPERLINK("https://media.infra-m.ru/2110/2110490/cover/2110490.jpg", "Обложка")</f>
        <v>Обложка</v>
      </c>
      <c r="V577" s="24" t="str">
        <f>HYPERLINK("https://znanium.ru/catalog/product/1029672", "Ознакомиться")</f>
        <v>Ознакомиться</v>
      </c>
      <c r="W577" s="8" t="s">
        <v>82</v>
      </c>
      <c r="X577" s="6"/>
      <c r="Y577" s="6"/>
      <c r="Z577" s="6" t="s">
        <v>48</v>
      </c>
      <c r="AA577" s="6" t="s">
        <v>111</v>
      </c>
      <c r="AB577" s="8"/>
    </row>
    <row r="578" spans="1:28" s="4" customFormat="1" ht="51.95" customHeight="1">
      <c r="A578" s="5">
        <v>0</v>
      </c>
      <c r="B578" s="6" t="s">
        <v>3894</v>
      </c>
      <c r="C578" s="7">
        <v>2090</v>
      </c>
      <c r="D578" s="8" t="s">
        <v>3895</v>
      </c>
      <c r="E578" s="8" t="s">
        <v>3886</v>
      </c>
      <c r="F578" s="8" t="s">
        <v>3896</v>
      </c>
      <c r="G578" s="6" t="s">
        <v>38</v>
      </c>
      <c r="H578" s="6" t="s">
        <v>54</v>
      </c>
      <c r="I578" s="8" t="s">
        <v>40</v>
      </c>
      <c r="J578" s="9">
        <v>1</v>
      </c>
      <c r="K578" s="9">
        <v>397</v>
      </c>
      <c r="L578" s="9">
        <v>2025</v>
      </c>
      <c r="M578" s="8" t="s">
        <v>3897</v>
      </c>
      <c r="N578" s="8" t="s">
        <v>125</v>
      </c>
      <c r="O578" s="8" t="s">
        <v>432</v>
      </c>
      <c r="P578" s="6" t="s">
        <v>44</v>
      </c>
      <c r="Q578" s="8" t="s">
        <v>45</v>
      </c>
      <c r="R578" s="10" t="s">
        <v>464</v>
      </c>
      <c r="S578" s="11"/>
      <c r="T578" s="6"/>
      <c r="U578" s="24" t="str">
        <f>HYPERLINK("https://media.infra-m.ru/2122/2122903/cover/2122903.jpg", "Обложка")</f>
        <v>Обложка</v>
      </c>
      <c r="V578" s="24" t="str">
        <f>HYPERLINK("https://znanium.ru/catalog/product/2122903", "Ознакомиться")</f>
        <v>Ознакомиться</v>
      </c>
      <c r="W578" s="8" t="s">
        <v>3898</v>
      </c>
      <c r="X578" s="6" t="s">
        <v>1400</v>
      </c>
      <c r="Y578" s="6"/>
      <c r="Z578" s="6"/>
      <c r="AA578" s="6" t="s">
        <v>84</v>
      </c>
      <c r="AB578" s="8" t="s">
        <v>759</v>
      </c>
    </row>
    <row r="579" spans="1:28" s="4" customFormat="1" ht="51.95" customHeight="1">
      <c r="A579" s="5">
        <v>0</v>
      </c>
      <c r="B579" s="6" t="s">
        <v>3899</v>
      </c>
      <c r="C579" s="7">
        <v>1150</v>
      </c>
      <c r="D579" s="8" t="s">
        <v>3900</v>
      </c>
      <c r="E579" s="8" t="s">
        <v>3886</v>
      </c>
      <c r="F579" s="8" t="s">
        <v>3901</v>
      </c>
      <c r="G579" s="6" t="s">
        <v>90</v>
      </c>
      <c r="H579" s="6" t="s">
        <v>54</v>
      </c>
      <c r="I579" s="8" t="s">
        <v>40</v>
      </c>
      <c r="J579" s="9">
        <v>1</v>
      </c>
      <c r="K579" s="9">
        <v>249</v>
      </c>
      <c r="L579" s="9">
        <v>2024</v>
      </c>
      <c r="M579" s="8" t="s">
        <v>3902</v>
      </c>
      <c r="N579" s="8" t="s">
        <v>125</v>
      </c>
      <c r="O579" s="8" t="s">
        <v>432</v>
      </c>
      <c r="P579" s="6" t="s">
        <v>44</v>
      </c>
      <c r="Q579" s="8" t="s">
        <v>45</v>
      </c>
      <c r="R579" s="10" t="s">
        <v>3892</v>
      </c>
      <c r="S579" s="11" t="s">
        <v>3903</v>
      </c>
      <c r="T579" s="6" t="s">
        <v>118</v>
      </c>
      <c r="U579" s="24" t="str">
        <f>HYPERLINK("https://media.infra-m.ru/2096/2096329/cover/2096329.jpg", "Обложка")</f>
        <v>Обложка</v>
      </c>
      <c r="V579" s="24" t="str">
        <f>HYPERLINK("https://znanium.ru/catalog/product/2096329", "Ознакомиться")</f>
        <v>Ознакомиться</v>
      </c>
      <c r="W579" s="8" t="s">
        <v>293</v>
      </c>
      <c r="X579" s="6"/>
      <c r="Y579" s="6"/>
      <c r="Z579" s="6" t="s">
        <v>48</v>
      </c>
      <c r="AA579" s="6" t="s">
        <v>740</v>
      </c>
      <c r="AB579" s="8"/>
    </row>
    <row r="580" spans="1:28" s="4" customFormat="1" ht="51.95" customHeight="1">
      <c r="A580" s="5">
        <v>0</v>
      </c>
      <c r="B580" s="6" t="s">
        <v>3904</v>
      </c>
      <c r="C580" s="7">
        <v>1320</v>
      </c>
      <c r="D580" s="8" t="s">
        <v>3905</v>
      </c>
      <c r="E580" s="8" t="s">
        <v>3880</v>
      </c>
      <c r="F580" s="8" t="s">
        <v>3906</v>
      </c>
      <c r="G580" s="6" t="s">
        <v>38</v>
      </c>
      <c r="H580" s="6" t="s">
        <v>54</v>
      </c>
      <c r="I580" s="8" t="s">
        <v>40</v>
      </c>
      <c r="J580" s="9">
        <v>1</v>
      </c>
      <c r="K580" s="9">
        <v>247</v>
      </c>
      <c r="L580" s="9">
        <v>2026</v>
      </c>
      <c r="M580" s="8" t="s">
        <v>3907</v>
      </c>
      <c r="N580" s="8" t="s">
        <v>125</v>
      </c>
      <c r="O580" s="8" t="s">
        <v>432</v>
      </c>
      <c r="P580" s="6" t="s">
        <v>44</v>
      </c>
      <c r="Q580" s="8" t="s">
        <v>45</v>
      </c>
      <c r="R580" s="10" t="s">
        <v>464</v>
      </c>
      <c r="S580" s="11"/>
      <c r="T580" s="6"/>
      <c r="U580" s="24" t="str">
        <f>HYPERLINK("https://media.infra-m.ru/2179/2179678/cover/2179678.jpg", "Обложка")</f>
        <v>Обложка</v>
      </c>
      <c r="V580" s="24" t="str">
        <f>HYPERLINK("https://znanium.ru/catalog/product/2179678", "Ознакомиться")</f>
        <v>Ознакомиться</v>
      </c>
      <c r="W580" s="8" t="s">
        <v>1152</v>
      </c>
      <c r="X580" s="6" t="s">
        <v>1400</v>
      </c>
      <c r="Y580" s="6"/>
      <c r="Z580" s="6" t="s">
        <v>207</v>
      </c>
      <c r="AA580" s="6" t="s">
        <v>1061</v>
      </c>
      <c r="AB580" s="8"/>
    </row>
    <row r="581" spans="1:28" s="4" customFormat="1" ht="42" customHeight="1">
      <c r="A581" s="5">
        <v>0</v>
      </c>
      <c r="B581" s="6" t="s">
        <v>3908</v>
      </c>
      <c r="C581" s="13">
        <v>760</v>
      </c>
      <c r="D581" s="8" t="s">
        <v>3909</v>
      </c>
      <c r="E581" s="8" t="s">
        <v>3910</v>
      </c>
      <c r="F581" s="8" t="s">
        <v>3911</v>
      </c>
      <c r="G581" s="6" t="s">
        <v>38</v>
      </c>
      <c r="H581" s="6" t="s">
        <v>359</v>
      </c>
      <c r="I581" s="8" t="s">
        <v>40</v>
      </c>
      <c r="J581" s="9">
        <v>1</v>
      </c>
      <c r="K581" s="9">
        <v>152</v>
      </c>
      <c r="L581" s="9">
        <v>2024</v>
      </c>
      <c r="M581" s="8" t="s">
        <v>3912</v>
      </c>
      <c r="N581" s="8" t="s">
        <v>125</v>
      </c>
      <c r="O581" s="8" t="s">
        <v>352</v>
      </c>
      <c r="P581" s="6" t="s">
        <v>58</v>
      </c>
      <c r="Q581" s="8" t="s">
        <v>45</v>
      </c>
      <c r="R581" s="10" t="s">
        <v>108</v>
      </c>
      <c r="S581" s="11"/>
      <c r="T581" s="6"/>
      <c r="U581" s="24" t="str">
        <f>HYPERLINK("https://media.infra-m.ru/2082/2082008/cover/2082008.jpg", "Обложка")</f>
        <v>Обложка</v>
      </c>
      <c r="V581" s="24" t="str">
        <f>HYPERLINK("https://znanium.ru/catalog/product/2082008", "Ознакомиться")</f>
        <v>Ознакомиться</v>
      </c>
      <c r="W581" s="8" t="s">
        <v>361</v>
      </c>
      <c r="X581" s="6"/>
      <c r="Y581" s="6"/>
      <c r="Z581" s="6"/>
      <c r="AA581" s="6" t="s">
        <v>49</v>
      </c>
      <c r="AB581" s="8"/>
    </row>
    <row r="582" spans="1:28" s="4" customFormat="1" ht="42" customHeight="1">
      <c r="A582" s="5">
        <v>0</v>
      </c>
      <c r="B582" s="6" t="s">
        <v>3913</v>
      </c>
      <c r="C582" s="13">
        <v>684.9</v>
      </c>
      <c r="D582" s="8" t="s">
        <v>3914</v>
      </c>
      <c r="E582" s="8" t="s">
        <v>3915</v>
      </c>
      <c r="F582" s="8" t="s">
        <v>3911</v>
      </c>
      <c r="G582" s="6" t="s">
        <v>38</v>
      </c>
      <c r="H582" s="6" t="s">
        <v>359</v>
      </c>
      <c r="I582" s="8" t="s">
        <v>40</v>
      </c>
      <c r="J582" s="9">
        <v>1</v>
      </c>
      <c r="K582" s="9">
        <v>152</v>
      </c>
      <c r="L582" s="9">
        <v>2023</v>
      </c>
      <c r="M582" s="8" t="s">
        <v>3916</v>
      </c>
      <c r="N582" s="8" t="s">
        <v>125</v>
      </c>
      <c r="O582" s="8" t="s">
        <v>352</v>
      </c>
      <c r="P582" s="6" t="s">
        <v>58</v>
      </c>
      <c r="Q582" s="8" t="s">
        <v>45</v>
      </c>
      <c r="R582" s="10" t="s">
        <v>108</v>
      </c>
      <c r="S582" s="11"/>
      <c r="T582" s="6"/>
      <c r="U582" s="24" t="str">
        <f>HYPERLINK("https://media.infra-m.ru/1920/1920322/cover/1920322.jpg", "Обложка")</f>
        <v>Обложка</v>
      </c>
      <c r="V582" s="24" t="str">
        <f>HYPERLINK("https://znanium.ru/catalog/product/2082008", "Ознакомиться")</f>
        <v>Ознакомиться</v>
      </c>
      <c r="W582" s="8" t="s">
        <v>361</v>
      </c>
      <c r="X582" s="6"/>
      <c r="Y582" s="6"/>
      <c r="Z582" s="6"/>
      <c r="AA582" s="6" t="s">
        <v>111</v>
      </c>
      <c r="AB582" s="8"/>
    </row>
    <row r="583" spans="1:28" s="4" customFormat="1" ht="51.95" customHeight="1">
      <c r="A583" s="5">
        <v>0</v>
      </c>
      <c r="B583" s="6" t="s">
        <v>3917</v>
      </c>
      <c r="C583" s="13">
        <v>590</v>
      </c>
      <c r="D583" s="8" t="s">
        <v>3918</v>
      </c>
      <c r="E583" s="8" t="s">
        <v>3919</v>
      </c>
      <c r="F583" s="8" t="s">
        <v>3920</v>
      </c>
      <c r="G583" s="6" t="s">
        <v>38</v>
      </c>
      <c r="H583" s="6" t="s">
        <v>359</v>
      </c>
      <c r="I583" s="8" t="s">
        <v>40</v>
      </c>
      <c r="J583" s="9">
        <v>1</v>
      </c>
      <c r="K583" s="9">
        <v>160</v>
      </c>
      <c r="L583" s="9">
        <v>2019</v>
      </c>
      <c r="M583" s="8" t="s">
        <v>3921</v>
      </c>
      <c r="N583" s="8" t="s">
        <v>125</v>
      </c>
      <c r="O583" s="8" t="s">
        <v>352</v>
      </c>
      <c r="P583" s="6" t="s">
        <v>44</v>
      </c>
      <c r="Q583" s="8" t="s">
        <v>45</v>
      </c>
      <c r="R583" s="10" t="s">
        <v>3922</v>
      </c>
      <c r="S583" s="11"/>
      <c r="T583" s="6"/>
      <c r="U583" s="24" t="str">
        <f>HYPERLINK("https://media.infra-m.ru/1029/1029669/cover/1029669.jpg", "Обложка")</f>
        <v>Обложка</v>
      </c>
      <c r="V583" s="24" t="str">
        <f>HYPERLINK("https://znanium.ru/catalog/product/1029669", "Ознакомиться")</f>
        <v>Ознакомиться</v>
      </c>
      <c r="W583" s="8" t="s">
        <v>361</v>
      </c>
      <c r="X583" s="6"/>
      <c r="Y583" s="6"/>
      <c r="Z583" s="6" t="s">
        <v>1260</v>
      </c>
      <c r="AA583" s="6" t="s">
        <v>111</v>
      </c>
      <c r="AB583" s="8"/>
    </row>
    <row r="584" spans="1:28" s="4" customFormat="1" ht="51.95" customHeight="1">
      <c r="A584" s="5">
        <v>0</v>
      </c>
      <c r="B584" s="6" t="s">
        <v>3923</v>
      </c>
      <c r="C584" s="7">
        <v>1324</v>
      </c>
      <c r="D584" s="8" t="s">
        <v>3924</v>
      </c>
      <c r="E584" s="8" t="s">
        <v>3925</v>
      </c>
      <c r="F584" s="8" t="s">
        <v>3926</v>
      </c>
      <c r="G584" s="6" t="s">
        <v>90</v>
      </c>
      <c r="H584" s="6" t="s">
        <v>54</v>
      </c>
      <c r="I584" s="8" t="s">
        <v>40</v>
      </c>
      <c r="J584" s="9">
        <v>1</v>
      </c>
      <c r="K584" s="9">
        <v>254</v>
      </c>
      <c r="L584" s="9">
        <v>2026</v>
      </c>
      <c r="M584" s="8" t="s">
        <v>3927</v>
      </c>
      <c r="N584" s="8" t="s">
        <v>42</v>
      </c>
      <c r="O584" s="8" t="s">
        <v>187</v>
      </c>
      <c r="P584" s="6" t="s">
        <v>58</v>
      </c>
      <c r="Q584" s="8" t="s">
        <v>45</v>
      </c>
      <c r="R584" s="10" t="s">
        <v>3928</v>
      </c>
      <c r="S584" s="11" t="s">
        <v>3929</v>
      </c>
      <c r="T584" s="6"/>
      <c r="U584" s="24" t="str">
        <f>HYPERLINK("https://media.infra-m.ru/2218/2218718/cover/2218718.jpg", "Обложка")</f>
        <v>Обложка</v>
      </c>
      <c r="V584" s="24" t="str">
        <f>HYPERLINK("https://znanium.ru/catalog/product/2215369", "Ознакомиться")</f>
        <v>Ознакомиться</v>
      </c>
      <c r="W584" s="8"/>
      <c r="X584" s="6"/>
      <c r="Y584" s="6"/>
      <c r="Z584" s="6"/>
      <c r="AA584" s="6" t="s">
        <v>835</v>
      </c>
      <c r="AB584" s="8"/>
    </row>
    <row r="585" spans="1:28" s="4" customFormat="1" ht="51.95" customHeight="1">
      <c r="A585" s="5">
        <v>0</v>
      </c>
      <c r="B585" s="6" t="s">
        <v>3930</v>
      </c>
      <c r="C585" s="7">
        <v>1660</v>
      </c>
      <c r="D585" s="8" t="s">
        <v>3931</v>
      </c>
      <c r="E585" s="8" t="s">
        <v>3932</v>
      </c>
      <c r="F585" s="8" t="s">
        <v>3933</v>
      </c>
      <c r="G585" s="6" t="s">
        <v>38</v>
      </c>
      <c r="H585" s="6" t="s">
        <v>54</v>
      </c>
      <c r="I585" s="8" t="s">
        <v>40</v>
      </c>
      <c r="J585" s="9">
        <v>1</v>
      </c>
      <c r="K585" s="9">
        <v>332</v>
      </c>
      <c r="L585" s="9">
        <v>2025</v>
      </c>
      <c r="M585" s="8" t="s">
        <v>3934</v>
      </c>
      <c r="N585" s="8" t="s">
        <v>535</v>
      </c>
      <c r="O585" s="8" t="s">
        <v>536</v>
      </c>
      <c r="P585" s="6" t="s">
        <v>44</v>
      </c>
      <c r="Q585" s="8" t="s">
        <v>45</v>
      </c>
      <c r="R585" s="10" t="s">
        <v>3935</v>
      </c>
      <c r="S585" s="11"/>
      <c r="T585" s="6"/>
      <c r="U585" s="24" t="str">
        <f>HYPERLINK("https://media.infra-m.ru/2175/2175111/cover/2175111.jpg", "Обложка")</f>
        <v>Обложка</v>
      </c>
      <c r="V585" s="24" t="str">
        <f>HYPERLINK("https://znanium.ru/catalog/product/2175111", "Ознакомиться")</f>
        <v>Ознакомиться</v>
      </c>
      <c r="W585" s="8" t="s">
        <v>3936</v>
      </c>
      <c r="X585" s="6" t="s">
        <v>367</v>
      </c>
      <c r="Y585" s="6"/>
      <c r="Z585" s="6" t="s">
        <v>48</v>
      </c>
      <c r="AA585" s="6" t="s">
        <v>84</v>
      </c>
      <c r="AB585" s="8"/>
    </row>
    <row r="586" spans="1:28" s="4" customFormat="1" ht="44.1" customHeight="1">
      <c r="A586" s="5">
        <v>0</v>
      </c>
      <c r="B586" s="6" t="s">
        <v>3937</v>
      </c>
      <c r="C586" s="13">
        <v>700</v>
      </c>
      <c r="D586" s="8" t="s">
        <v>3938</v>
      </c>
      <c r="E586" s="8" t="s">
        <v>3939</v>
      </c>
      <c r="F586" s="8" t="s">
        <v>3940</v>
      </c>
      <c r="G586" s="6" t="s">
        <v>38</v>
      </c>
      <c r="H586" s="6" t="s">
        <v>54</v>
      </c>
      <c r="I586" s="8" t="s">
        <v>40</v>
      </c>
      <c r="J586" s="9">
        <v>1</v>
      </c>
      <c r="K586" s="9">
        <v>142</v>
      </c>
      <c r="L586" s="9">
        <v>2024</v>
      </c>
      <c r="M586" s="8" t="s">
        <v>3941</v>
      </c>
      <c r="N586" s="8" t="s">
        <v>535</v>
      </c>
      <c r="O586" s="8" t="s">
        <v>856</v>
      </c>
      <c r="P586" s="6" t="s">
        <v>44</v>
      </c>
      <c r="Q586" s="8" t="s">
        <v>45</v>
      </c>
      <c r="R586" s="10" t="s">
        <v>3942</v>
      </c>
      <c r="S586" s="11"/>
      <c r="T586" s="6"/>
      <c r="U586" s="24" t="str">
        <f>HYPERLINK("https://media.infra-m.ru/2081/2081627/cover/2081627.jpg", "Обложка")</f>
        <v>Обложка</v>
      </c>
      <c r="V586" s="24" t="str">
        <f>HYPERLINK("https://znanium.ru/catalog/product/2081627", "Ознакомиться")</f>
        <v>Ознакомиться</v>
      </c>
      <c r="W586" s="8" t="s">
        <v>3943</v>
      </c>
      <c r="X586" s="6"/>
      <c r="Y586" s="6"/>
      <c r="Z586" s="6"/>
      <c r="AA586" s="6" t="s">
        <v>354</v>
      </c>
      <c r="AB586" s="8"/>
    </row>
    <row r="587" spans="1:28" s="4" customFormat="1" ht="51.95" customHeight="1">
      <c r="A587" s="5">
        <v>0</v>
      </c>
      <c r="B587" s="6" t="s">
        <v>3944</v>
      </c>
      <c r="C587" s="13">
        <v>764.9</v>
      </c>
      <c r="D587" s="8" t="s">
        <v>3945</v>
      </c>
      <c r="E587" s="8" t="s">
        <v>3946</v>
      </c>
      <c r="F587" s="8" t="s">
        <v>3940</v>
      </c>
      <c r="G587" s="6" t="s">
        <v>38</v>
      </c>
      <c r="H587" s="6" t="s">
        <v>54</v>
      </c>
      <c r="I587" s="8" t="s">
        <v>40</v>
      </c>
      <c r="J587" s="9">
        <v>1</v>
      </c>
      <c r="K587" s="9">
        <v>148</v>
      </c>
      <c r="L587" s="9">
        <v>2022</v>
      </c>
      <c r="M587" s="8" t="s">
        <v>3947</v>
      </c>
      <c r="N587" s="8" t="s">
        <v>535</v>
      </c>
      <c r="O587" s="8" t="s">
        <v>856</v>
      </c>
      <c r="P587" s="6" t="s">
        <v>44</v>
      </c>
      <c r="Q587" s="8" t="s">
        <v>45</v>
      </c>
      <c r="R587" s="10" t="s">
        <v>3948</v>
      </c>
      <c r="S587" s="11" t="s">
        <v>3949</v>
      </c>
      <c r="T587" s="6"/>
      <c r="U587" s="24" t="str">
        <f>HYPERLINK("https://media.infra-m.ru/1904/1904395/cover/1904395.jpg", "Обложка")</f>
        <v>Обложка</v>
      </c>
      <c r="V587" s="24" t="str">
        <f>HYPERLINK("https://znanium.ru/catalog/product/1874093", "Ознакомиться")</f>
        <v>Ознакомиться</v>
      </c>
      <c r="W587" s="8" t="s">
        <v>3943</v>
      </c>
      <c r="X587" s="6"/>
      <c r="Y587" s="6"/>
      <c r="Z587" s="6"/>
      <c r="AA587" s="6" t="s">
        <v>500</v>
      </c>
      <c r="AB587" s="8" t="s">
        <v>648</v>
      </c>
    </row>
    <row r="588" spans="1:28" s="4" customFormat="1" ht="51.95" customHeight="1">
      <c r="A588" s="5">
        <v>0</v>
      </c>
      <c r="B588" s="6" t="s">
        <v>3950</v>
      </c>
      <c r="C588" s="13">
        <v>574.4</v>
      </c>
      <c r="D588" s="8" t="s">
        <v>3951</v>
      </c>
      <c r="E588" s="8" t="s">
        <v>3952</v>
      </c>
      <c r="F588" s="8" t="s">
        <v>3953</v>
      </c>
      <c r="G588" s="6" t="s">
        <v>38</v>
      </c>
      <c r="H588" s="6" t="s">
        <v>54</v>
      </c>
      <c r="I588" s="8" t="s">
        <v>40</v>
      </c>
      <c r="J588" s="9">
        <v>1</v>
      </c>
      <c r="K588" s="9">
        <v>172</v>
      </c>
      <c r="L588" s="9">
        <v>2019</v>
      </c>
      <c r="M588" s="8" t="s">
        <v>3954</v>
      </c>
      <c r="N588" s="8" t="s">
        <v>535</v>
      </c>
      <c r="O588" s="8" t="s">
        <v>856</v>
      </c>
      <c r="P588" s="6" t="s">
        <v>44</v>
      </c>
      <c r="Q588" s="8" t="s">
        <v>45</v>
      </c>
      <c r="R588" s="10" t="s">
        <v>3955</v>
      </c>
      <c r="S588" s="11" t="s">
        <v>3956</v>
      </c>
      <c r="T588" s="6"/>
      <c r="U588" s="24" t="str">
        <f>HYPERLINK("https://media.infra-m.ru/2081/2081989/cover/2081989.jpg", "Обложка")</f>
        <v>Обложка</v>
      </c>
      <c r="V588" s="24" t="str">
        <f>HYPERLINK("https://znanium.ru/catalog/product/1971060", "Ознакомиться")</f>
        <v>Ознакомиться</v>
      </c>
      <c r="W588" s="8" t="s">
        <v>2309</v>
      </c>
      <c r="X588" s="6"/>
      <c r="Y588" s="6"/>
      <c r="Z588" s="6" t="s">
        <v>48</v>
      </c>
      <c r="AA588" s="6" t="s">
        <v>330</v>
      </c>
      <c r="AB588" s="8"/>
    </row>
    <row r="589" spans="1:28" s="4" customFormat="1" ht="51.95" customHeight="1">
      <c r="A589" s="5">
        <v>0</v>
      </c>
      <c r="B589" s="6" t="s">
        <v>3957</v>
      </c>
      <c r="C589" s="7">
        <v>1664</v>
      </c>
      <c r="D589" s="8" t="s">
        <v>3958</v>
      </c>
      <c r="E589" s="8" t="s">
        <v>3959</v>
      </c>
      <c r="F589" s="8" t="s">
        <v>3940</v>
      </c>
      <c r="G589" s="6" t="s">
        <v>38</v>
      </c>
      <c r="H589" s="6" t="s">
        <v>54</v>
      </c>
      <c r="I589" s="8" t="s">
        <v>40</v>
      </c>
      <c r="J589" s="9">
        <v>1</v>
      </c>
      <c r="K589" s="9">
        <v>332</v>
      </c>
      <c r="L589" s="9">
        <v>2025</v>
      </c>
      <c r="M589" s="8" t="s">
        <v>3960</v>
      </c>
      <c r="N589" s="8" t="s">
        <v>535</v>
      </c>
      <c r="O589" s="8" t="s">
        <v>856</v>
      </c>
      <c r="P589" s="6" t="s">
        <v>58</v>
      </c>
      <c r="Q589" s="8" t="s">
        <v>45</v>
      </c>
      <c r="R589" s="10" t="s">
        <v>3961</v>
      </c>
      <c r="S589" s="11" t="s">
        <v>3962</v>
      </c>
      <c r="T589" s="6"/>
      <c r="U589" s="24" t="str">
        <f>HYPERLINK("https://media.infra-m.ru/2187/2187626/cover/2187626.jpg", "Обложка")</f>
        <v>Обложка</v>
      </c>
      <c r="V589" s="24" t="str">
        <f>HYPERLINK("https://znanium.ru/catalog/product/1874094", "Ознакомиться")</f>
        <v>Ознакомиться</v>
      </c>
      <c r="W589" s="8" t="s">
        <v>3943</v>
      </c>
      <c r="X589" s="6"/>
      <c r="Y589" s="6"/>
      <c r="Z589" s="6"/>
      <c r="AA589" s="6" t="s">
        <v>500</v>
      </c>
      <c r="AB589" s="8" t="s">
        <v>648</v>
      </c>
    </row>
    <row r="590" spans="1:28" s="4" customFormat="1" ht="44.1" customHeight="1">
      <c r="A590" s="5">
        <v>0</v>
      </c>
      <c r="B590" s="6" t="s">
        <v>3963</v>
      </c>
      <c r="C590" s="7">
        <v>1200</v>
      </c>
      <c r="D590" s="8" t="s">
        <v>3964</v>
      </c>
      <c r="E590" s="8" t="s">
        <v>3959</v>
      </c>
      <c r="F590" s="8" t="s">
        <v>3965</v>
      </c>
      <c r="G590" s="6" t="s">
        <v>90</v>
      </c>
      <c r="H590" s="6" t="s">
        <v>54</v>
      </c>
      <c r="I590" s="8" t="s">
        <v>40</v>
      </c>
      <c r="J590" s="9">
        <v>1</v>
      </c>
      <c r="K590" s="9">
        <v>248</v>
      </c>
      <c r="L590" s="9">
        <v>2024</v>
      </c>
      <c r="M590" s="8" t="s">
        <v>3966</v>
      </c>
      <c r="N590" s="8" t="s">
        <v>535</v>
      </c>
      <c r="O590" s="8" t="s">
        <v>856</v>
      </c>
      <c r="P590" s="6" t="s">
        <v>44</v>
      </c>
      <c r="Q590" s="8" t="s">
        <v>45</v>
      </c>
      <c r="R590" s="10" t="s">
        <v>3967</v>
      </c>
      <c r="S590" s="11"/>
      <c r="T590" s="6"/>
      <c r="U590" s="24" t="str">
        <f>HYPERLINK("https://media.infra-m.ru/2150/2150766/cover/2150766.jpg", "Обложка")</f>
        <v>Обложка</v>
      </c>
      <c r="V590" s="24" t="str">
        <f>HYPERLINK("https://znanium.ru/catalog/product/2150766", "Ознакомиться")</f>
        <v>Ознакомиться</v>
      </c>
      <c r="W590" s="8" t="s">
        <v>1067</v>
      </c>
      <c r="X590" s="6"/>
      <c r="Y590" s="6"/>
      <c r="Z590" s="6" t="s">
        <v>207</v>
      </c>
      <c r="AA590" s="6" t="s">
        <v>354</v>
      </c>
      <c r="AB590" s="8"/>
    </row>
    <row r="591" spans="1:28" s="4" customFormat="1" ht="51.95" customHeight="1">
      <c r="A591" s="5">
        <v>0</v>
      </c>
      <c r="B591" s="6" t="s">
        <v>3968</v>
      </c>
      <c r="C591" s="7">
        <v>2294</v>
      </c>
      <c r="D591" s="8" t="s">
        <v>3969</v>
      </c>
      <c r="E591" s="8" t="s">
        <v>3970</v>
      </c>
      <c r="F591" s="8" t="s">
        <v>3971</v>
      </c>
      <c r="G591" s="6" t="s">
        <v>38</v>
      </c>
      <c r="H591" s="6" t="s">
        <v>54</v>
      </c>
      <c r="I591" s="8" t="s">
        <v>40</v>
      </c>
      <c r="J591" s="9">
        <v>1</v>
      </c>
      <c r="K591" s="9">
        <v>471</v>
      </c>
      <c r="L591" s="9">
        <v>2025</v>
      </c>
      <c r="M591" s="8" t="s">
        <v>3972</v>
      </c>
      <c r="N591" s="8" t="s">
        <v>56</v>
      </c>
      <c r="O591" s="8" t="s">
        <v>57</v>
      </c>
      <c r="P591" s="6" t="s">
        <v>44</v>
      </c>
      <c r="Q591" s="8" t="s">
        <v>45</v>
      </c>
      <c r="R591" s="10" t="s">
        <v>3973</v>
      </c>
      <c r="S591" s="11" t="s">
        <v>3524</v>
      </c>
      <c r="T591" s="6"/>
      <c r="U591" s="24" t="str">
        <f>HYPERLINK("https://media.infra-m.ru/2188/2188882/cover/2188882.jpg", "Обложка")</f>
        <v>Обложка</v>
      </c>
      <c r="V591" s="24" t="str">
        <f>HYPERLINK("https://znanium.ru/catalog/product/1026003", "Ознакомиться")</f>
        <v>Ознакомиться</v>
      </c>
      <c r="W591" s="8" t="s">
        <v>172</v>
      </c>
      <c r="X591" s="6"/>
      <c r="Y591" s="6"/>
      <c r="Z591" s="6" t="s">
        <v>48</v>
      </c>
      <c r="AA591" s="6" t="s">
        <v>111</v>
      </c>
      <c r="AB591" s="8"/>
    </row>
    <row r="592" spans="1:28" s="4" customFormat="1" ht="51.95" customHeight="1">
      <c r="A592" s="5">
        <v>0</v>
      </c>
      <c r="B592" s="6" t="s">
        <v>3974</v>
      </c>
      <c r="C592" s="7">
        <v>1630</v>
      </c>
      <c r="D592" s="8" t="s">
        <v>3975</v>
      </c>
      <c r="E592" s="8" t="s">
        <v>3976</v>
      </c>
      <c r="F592" s="8" t="s">
        <v>3977</v>
      </c>
      <c r="G592" s="6" t="s">
        <v>90</v>
      </c>
      <c r="H592" s="6" t="s">
        <v>54</v>
      </c>
      <c r="I592" s="8" t="s">
        <v>40</v>
      </c>
      <c r="J592" s="9">
        <v>1</v>
      </c>
      <c r="K592" s="9">
        <v>302</v>
      </c>
      <c r="L592" s="9">
        <v>2026</v>
      </c>
      <c r="M592" s="8" t="s">
        <v>3978</v>
      </c>
      <c r="N592" s="8" t="s">
        <v>56</v>
      </c>
      <c r="O592" s="8" t="s">
        <v>57</v>
      </c>
      <c r="P592" s="6" t="s">
        <v>58</v>
      </c>
      <c r="Q592" s="8" t="s">
        <v>45</v>
      </c>
      <c r="R592" s="10" t="s">
        <v>660</v>
      </c>
      <c r="S592" s="11" t="s">
        <v>3979</v>
      </c>
      <c r="T592" s="6"/>
      <c r="U592" s="24" t="str">
        <f>HYPERLINK("https://media.infra-m.ru/2214/2214598/cover/2214598.jpg", "Обложка")</f>
        <v>Обложка</v>
      </c>
      <c r="V592" s="24" t="str">
        <f>HYPERLINK("https://znanium.ru/catalog/product/2214598", "Ознакомиться")</f>
        <v>Ознакомиться</v>
      </c>
      <c r="W592" s="8" t="s">
        <v>3980</v>
      </c>
      <c r="X592" s="6"/>
      <c r="Y592" s="6"/>
      <c r="Z592" s="6" t="s">
        <v>48</v>
      </c>
      <c r="AA592" s="6" t="s">
        <v>223</v>
      </c>
      <c r="AB592" s="8"/>
    </row>
    <row r="593" spans="1:28" s="4" customFormat="1" ht="51.95" customHeight="1">
      <c r="A593" s="5">
        <v>0</v>
      </c>
      <c r="B593" s="6" t="s">
        <v>3981</v>
      </c>
      <c r="C593" s="7">
        <v>1150</v>
      </c>
      <c r="D593" s="8" t="s">
        <v>3982</v>
      </c>
      <c r="E593" s="8" t="s">
        <v>3983</v>
      </c>
      <c r="F593" s="8" t="s">
        <v>3984</v>
      </c>
      <c r="G593" s="6" t="s">
        <v>90</v>
      </c>
      <c r="H593" s="6" t="s">
        <v>54</v>
      </c>
      <c r="I593" s="8" t="s">
        <v>40</v>
      </c>
      <c r="J593" s="9">
        <v>1</v>
      </c>
      <c r="K593" s="9">
        <v>247</v>
      </c>
      <c r="L593" s="9">
        <v>2024</v>
      </c>
      <c r="M593" s="8" t="s">
        <v>3985</v>
      </c>
      <c r="N593" s="8" t="s">
        <v>56</v>
      </c>
      <c r="O593" s="8" t="s">
        <v>57</v>
      </c>
      <c r="P593" s="6" t="s">
        <v>58</v>
      </c>
      <c r="Q593" s="8" t="s">
        <v>45</v>
      </c>
      <c r="R593" s="10" t="s">
        <v>3986</v>
      </c>
      <c r="S593" s="11" t="s">
        <v>3987</v>
      </c>
      <c r="T593" s="6"/>
      <c r="U593" s="24" t="str">
        <f>HYPERLINK("https://media.infra-m.ru/2076/2076901/cover/2076901.jpg", "Обложка")</f>
        <v>Обложка</v>
      </c>
      <c r="V593" s="24" t="str">
        <f>HYPERLINK("https://znanium.ru/catalog/product/2076901", "Ознакомиться")</f>
        <v>Ознакомиться</v>
      </c>
      <c r="W593" s="8" t="s">
        <v>3089</v>
      </c>
      <c r="X593" s="6"/>
      <c r="Y593" s="6"/>
      <c r="Z593" s="6" t="s">
        <v>48</v>
      </c>
      <c r="AA593" s="6" t="s">
        <v>740</v>
      </c>
      <c r="AB593" s="8"/>
    </row>
    <row r="594" spans="1:28" s="4" customFormat="1" ht="51.95" customHeight="1">
      <c r="A594" s="5">
        <v>0</v>
      </c>
      <c r="B594" s="6" t="s">
        <v>3988</v>
      </c>
      <c r="C594" s="7">
        <v>1684</v>
      </c>
      <c r="D594" s="8" t="s">
        <v>3989</v>
      </c>
      <c r="E594" s="8" t="s">
        <v>3990</v>
      </c>
      <c r="F594" s="8" t="s">
        <v>3991</v>
      </c>
      <c r="G594" s="6" t="s">
        <v>38</v>
      </c>
      <c r="H594" s="6" t="s">
        <v>693</v>
      </c>
      <c r="I594" s="8" t="s">
        <v>694</v>
      </c>
      <c r="J594" s="9">
        <v>1</v>
      </c>
      <c r="K594" s="9">
        <v>336</v>
      </c>
      <c r="L594" s="9">
        <v>2025</v>
      </c>
      <c r="M594" s="8" t="s">
        <v>3992</v>
      </c>
      <c r="N594" s="8" t="s">
        <v>535</v>
      </c>
      <c r="O594" s="8" t="s">
        <v>536</v>
      </c>
      <c r="P594" s="6" t="s">
        <v>44</v>
      </c>
      <c r="Q594" s="8" t="s">
        <v>45</v>
      </c>
      <c r="R594" s="10" t="s">
        <v>3993</v>
      </c>
      <c r="S594" s="11" t="s">
        <v>3562</v>
      </c>
      <c r="T594" s="6"/>
      <c r="U594" s="24" t="str">
        <f>HYPERLINK("https://media.infra-m.ru/2141/2141717/cover/2141717.jpg", "Обложка")</f>
        <v>Обложка</v>
      </c>
      <c r="V594" s="24" t="str">
        <f>HYPERLINK("https://znanium.ru/catalog/product/1362442", "Ознакомиться")</f>
        <v>Ознакомиться</v>
      </c>
      <c r="W594" s="8" t="s">
        <v>180</v>
      </c>
      <c r="X594" s="6"/>
      <c r="Y594" s="6"/>
      <c r="Z594" s="6"/>
      <c r="AA594" s="6" t="s">
        <v>835</v>
      </c>
      <c r="AB594" s="8"/>
    </row>
    <row r="595" spans="1:28" s="4" customFormat="1" ht="51.95" customHeight="1">
      <c r="A595" s="5">
        <v>0</v>
      </c>
      <c r="B595" s="6" t="s">
        <v>3994</v>
      </c>
      <c r="C595" s="13">
        <v>784</v>
      </c>
      <c r="D595" s="8" t="s">
        <v>3995</v>
      </c>
      <c r="E595" s="8" t="s">
        <v>3996</v>
      </c>
      <c r="F595" s="8" t="s">
        <v>3997</v>
      </c>
      <c r="G595" s="6" t="s">
        <v>38</v>
      </c>
      <c r="H595" s="6" t="s">
        <v>54</v>
      </c>
      <c r="I595" s="8" t="s">
        <v>40</v>
      </c>
      <c r="J595" s="9">
        <v>1</v>
      </c>
      <c r="K595" s="9">
        <v>148</v>
      </c>
      <c r="L595" s="9">
        <v>2026</v>
      </c>
      <c r="M595" s="8" t="s">
        <v>3998</v>
      </c>
      <c r="N595" s="8" t="s">
        <v>42</v>
      </c>
      <c r="O595" s="8" t="s">
        <v>243</v>
      </c>
      <c r="P595" s="6" t="s">
        <v>44</v>
      </c>
      <c r="Q595" s="8" t="s">
        <v>45</v>
      </c>
      <c r="R595" s="10" t="s">
        <v>3999</v>
      </c>
      <c r="S595" s="11" t="s">
        <v>4000</v>
      </c>
      <c r="T595" s="6"/>
      <c r="U595" s="24" t="str">
        <f>HYPERLINK("https://media.infra-m.ru/2222/2222392/cover/2222392.jpg", "Обложка")</f>
        <v>Обложка</v>
      </c>
      <c r="V595" s="24" t="str">
        <f>HYPERLINK("https://znanium.ru/catalog/product/1144464", "Ознакомиться")</f>
        <v>Ознакомиться</v>
      </c>
      <c r="W595" s="8" t="s">
        <v>4001</v>
      </c>
      <c r="X595" s="6"/>
      <c r="Y595" s="6"/>
      <c r="Z595" s="6"/>
      <c r="AA595" s="6" t="s">
        <v>1547</v>
      </c>
      <c r="AB595" s="8"/>
    </row>
    <row r="596" spans="1:28" s="4" customFormat="1" ht="51.95" customHeight="1">
      <c r="A596" s="5">
        <v>0</v>
      </c>
      <c r="B596" s="6" t="s">
        <v>4002</v>
      </c>
      <c r="C596" s="7">
        <v>1100</v>
      </c>
      <c r="D596" s="8" t="s">
        <v>4003</v>
      </c>
      <c r="E596" s="8" t="s">
        <v>4004</v>
      </c>
      <c r="F596" s="8" t="s">
        <v>4005</v>
      </c>
      <c r="G596" s="6" t="s">
        <v>38</v>
      </c>
      <c r="H596" s="6" t="s">
        <v>54</v>
      </c>
      <c r="I596" s="8" t="s">
        <v>40</v>
      </c>
      <c r="J596" s="9">
        <v>1</v>
      </c>
      <c r="K596" s="9">
        <v>190</v>
      </c>
      <c r="L596" s="9">
        <v>2025</v>
      </c>
      <c r="M596" s="8" t="s">
        <v>4006</v>
      </c>
      <c r="N596" s="8" t="s">
        <v>535</v>
      </c>
      <c r="O596" s="8" t="s">
        <v>544</v>
      </c>
      <c r="P596" s="6" t="s">
        <v>71</v>
      </c>
      <c r="Q596" s="8" t="s">
        <v>45</v>
      </c>
      <c r="R596" s="10" t="s">
        <v>4007</v>
      </c>
      <c r="S596" s="11" t="s">
        <v>4008</v>
      </c>
      <c r="T596" s="6"/>
      <c r="U596" s="24" t="str">
        <f>HYPERLINK("https://media.infra-m.ru/2180/2180373/cover/2180373.jpg", "Обложка")</f>
        <v>Обложка</v>
      </c>
      <c r="V596" s="24" t="str">
        <f>HYPERLINK("https://znanium.ru/catalog/product/2180373", "Ознакомиться")</f>
        <v>Ознакомиться</v>
      </c>
      <c r="W596" s="8" t="s">
        <v>4009</v>
      </c>
      <c r="X596" s="6" t="s">
        <v>518</v>
      </c>
      <c r="Y596" s="6"/>
      <c r="Z596" s="6"/>
      <c r="AA596" s="6" t="s">
        <v>84</v>
      </c>
      <c r="AB596" s="8" t="s">
        <v>801</v>
      </c>
    </row>
    <row r="597" spans="1:28" s="4" customFormat="1" ht="51.95" customHeight="1">
      <c r="A597" s="5">
        <v>0</v>
      </c>
      <c r="B597" s="6" t="s">
        <v>4010</v>
      </c>
      <c r="C597" s="7">
        <v>1040</v>
      </c>
      <c r="D597" s="8" t="s">
        <v>4011</v>
      </c>
      <c r="E597" s="8" t="s">
        <v>4012</v>
      </c>
      <c r="F597" s="8" t="s">
        <v>1031</v>
      </c>
      <c r="G597" s="6" t="s">
        <v>90</v>
      </c>
      <c r="H597" s="6" t="s">
        <v>68</v>
      </c>
      <c r="I597" s="8" t="s">
        <v>69</v>
      </c>
      <c r="J597" s="9">
        <v>1</v>
      </c>
      <c r="K597" s="9">
        <v>224</v>
      </c>
      <c r="L597" s="9">
        <v>2023</v>
      </c>
      <c r="M597" s="8" t="s">
        <v>4013</v>
      </c>
      <c r="N597" s="8" t="s">
        <v>125</v>
      </c>
      <c r="O597" s="8" t="s">
        <v>1380</v>
      </c>
      <c r="P597" s="6" t="s">
        <v>58</v>
      </c>
      <c r="Q597" s="8" t="s">
        <v>45</v>
      </c>
      <c r="R597" s="10" t="s">
        <v>4014</v>
      </c>
      <c r="S597" s="11" t="s">
        <v>4015</v>
      </c>
      <c r="T597" s="6"/>
      <c r="U597" s="24" t="str">
        <f>HYPERLINK("https://media.infra-m.ru/2124/2124998/cover/2124998.jpg", "Обложка")</f>
        <v>Обложка</v>
      </c>
      <c r="V597" s="24" t="str">
        <f>HYPERLINK("https://znanium.ru/catalog/product/2118072", "Ознакомиться")</f>
        <v>Ознакомиться</v>
      </c>
      <c r="W597" s="8" t="s">
        <v>709</v>
      </c>
      <c r="X597" s="6"/>
      <c r="Y597" s="6" t="s">
        <v>30</v>
      </c>
      <c r="Z597" s="6"/>
      <c r="AA597" s="6" t="s">
        <v>563</v>
      </c>
      <c r="AB597" s="8"/>
    </row>
    <row r="598" spans="1:28" s="4" customFormat="1" ht="42" customHeight="1">
      <c r="A598" s="5">
        <v>0</v>
      </c>
      <c r="B598" s="6" t="s">
        <v>4016</v>
      </c>
      <c r="C598" s="7">
        <v>1800</v>
      </c>
      <c r="D598" s="8" t="s">
        <v>4017</v>
      </c>
      <c r="E598" s="8" t="s">
        <v>4018</v>
      </c>
      <c r="F598" s="8" t="s">
        <v>4019</v>
      </c>
      <c r="G598" s="6" t="s">
        <v>38</v>
      </c>
      <c r="H598" s="6" t="s">
        <v>54</v>
      </c>
      <c r="I598" s="8" t="s">
        <v>40</v>
      </c>
      <c r="J598" s="9">
        <v>1</v>
      </c>
      <c r="K598" s="9">
        <v>332</v>
      </c>
      <c r="L598" s="9">
        <v>2025</v>
      </c>
      <c r="M598" s="8" t="s">
        <v>4020</v>
      </c>
      <c r="N598" s="8" t="s">
        <v>42</v>
      </c>
      <c r="O598" s="8" t="s">
        <v>553</v>
      </c>
      <c r="P598" s="6" t="s">
        <v>44</v>
      </c>
      <c r="Q598" s="8" t="s">
        <v>45</v>
      </c>
      <c r="R598" s="10" t="s">
        <v>4021</v>
      </c>
      <c r="S598" s="11"/>
      <c r="T598" s="6"/>
      <c r="U598" s="24" t="str">
        <f>HYPERLINK("https://media.infra-m.ru/2157/2157611/cover/2157611.jpg", "Обложка")</f>
        <v>Обложка</v>
      </c>
      <c r="V598" s="24" t="str">
        <f>HYPERLINK("https://znanium.ru/catalog/product/2157611", "Ознакомиться")</f>
        <v>Ознакомиться</v>
      </c>
      <c r="W598" s="8" t="s">
        <v>4022</v>
      </c>
      <c r="X598" s="6" t="s">
        <v>450</v>
      </c>
      <c r="Y598" s="6"/>
      <c r="Z598" s="6"/>
      <c r="AA598" s="6" t="s">
        <v>84</v>
      </c>
      <c r="AB598" s="8" t="s">
        <v>85</v>
      </c>
    </row>
    <row r="599" spans="1:28" s="4" customFormat="1" ht="51.95" customHeight="1">
      <c r="A599" s="5">
        <v>0</v>
      </c>
      <c r="B599" s="6" t="s">
        <v>4023</v>
      </c>
      <c r="C599" s="13">
        <v>944.9</v>
      </c>
      <c r="D599" s="8" t="s">
        <v>4024</v>
      </c>
      <c r="E599" s="8" t="s">
        <v>4025</v>
      </c>
      <c r="F599" s="8" t="s">
        <v>1031</v>
      </c>
      <c r="G599" s="6" t="s">
        <v>38</v>
      </c>
      <c r="H599" s="6" t="s">
        <v>68</v>
      </c>
      <c r="I599" s="8" t="s">
        <v>69</v>
      </c>
      <c r="J599" s="9">
        <v>1</v>
      </c>
      <c r="K599" s="9">
        <v>325</v>
      </c>
      <c r="L599" s="9">
        <v>2018</v>
      </c>
      <c r="M599" s="8" t="s">
        <v>4026</v>
      </c>
      <c r="N599" s="8" t="s">
        <v>125</v>
      </c>
      <c r="O599" s="8" t="s">
        <v>1380</v>
      </c>
      <c r="P599" s="6" t="s">
        <v>58</v>
      </c>
      <c r="Q599" s="8" t="s">
        <v>45</v>
      </c>
      <c r="R599" s="10" t="s">
        <v>4014</v>
      </c>
      <c r="S599" s="11" t="s">
        <v>4015</v>
      </c>
      <c r="T599" s="6"/>
      <c r="U599" s="24" t="str">
        <f>HYPERLINK("https://media.infra-m.ru/0958/0958539/cover/958539.jpg", "Обложка")</f>
        <v>Обложка</v>
      </c>
      <c r="V599" s="24" t="str">
        <f>HYPERLINK("https://znanium.ru/catalog/product/2118072", "Ознакомиться")</f>
        <v>Ознакомиться</v>
      </c>
      <c r="W599" s="8" t="s">
        <v>709</v>
      </c>
      <c r="X599" s="6"/>
      <c r="Y599" s="6" t="s">
        <v>30</v>
      </c>
      <c r="Z599" s="6"/>
      <c r="AA599" s="6" t="s">
        <v>147</v>
      </c>
      <c r="AB599" s="8"/>
    </row>
    <row r="600" spans="1:28" s="4" customFormat="1" ht="51.95" customHeight="1">
      <c r="A600" s="5">
        <v>0</v>
      </c>
      <c r="B600" s="6" t="s">
        <v>4027</v>
      </c>
      <c r="C600" s="7">
        <v>2050</v>
      </c>
      <c r="D600" s="8" t="s">
        <v>4028</v>
      </c>
      <c r="E600" s="8" t="s">
        <v>4029</v>
      </c>
      <c r="F600" s="8" t="s">
        <v>4030</v>
      </c>
      <c r="G600" s="6" t="s">
        <v>90</v>
      </c>
      <c r="H600" s="6" t="s">
        <v>54</v>
      </c>
      <c r="I600" s="8" t="s">
        <v>40</v>
      </c>
      <c r="J600" s="9">
        <v>1</v>
      </c>
      <c r="K600" s="9">
        <v>373</v>
      </c>
      <c r="L600" s="9">
        <v>2026</v>
      </c>
      <c r="M600" s="8" t="s">
        <v>4031</v>
      </c>
      <c r="N600" s="8" t="s">
        <v>42</v>
      </c>
      <c r="O600" s="8" t="s">
        <v>169</v>
      </c>
      <c r="P600" s="6" t="s">
        <v>44</v>
      </c>
      <c r="Q600" s="8" t="s">
        <v>45</v>
      </c>
      <c r="R600" s="10" t="s">
        <v>4032</v>
      </c>
      <c r="S600" s="11" t="s">
        <v>4033</v>
      </c>
      <c r="T600" s="6"/>
      <c r="U600" s="24" t="str">
        <f>HYPERLINK("https://media.infra-m.ru/2217/2217984/cover/2217984.jpg", "Обложка")</f>
        <v>Обложка</v>
      </c>
      <c r="V600" s="24" t="str">
        <f>HYPERLINK("https://znanium.ru/catalog/product/2217984", "Ознакомиться")</f>
        <v>Ознакомиться</v>
      </c>
      <c r="W600" s="8" t="s">
        <v>1152</v>
      </c>
      <c r="X600" s="6"/>
      <c r="Y600" s="6" t="s">
        <v>30</v>
      </c>
      <c r="Z600" s="6"/>
      <c r="AA600" s="6" t="s">
        <v>563</v>
      </c>
      <c r="AB600" s="8"/>
    </row>
    <row r="601" spans="1:28" s="4" customFormat="1" ht="51.95" customHeight="1">
      <c r="A601" s="5">
        <v>0</v>
      </c>
      <c r="B601" s="6" t="s">
        <v>4034</v>
      </c>
      <c r="C601" s="7">
        <v>1040</v>
      </c>
      <c r="D601" s="8" t="s">
        <v>4035</v>
      </c>
      <c r="E601" s="8" t="s">
        <v>4036</v>
      </c>
      <c r="F601" s="8" t="s">
        <v>4037</v>
      </c>
      <c r="G601" s="6" t="s">
        <v>90</v>
      </c>
      <c r="H601" s="6" t="s">
        <v>54</v>
      </c>
      <c r="I601" s="8" t="s">
        <v>40</v>
      </c>
      <c r="J601" s="9">
        <v>1</v>
      </c>
      <c r="K601" s="9">
        <v>412</v>
      </c>
      <c r="L601" s="9">
        <v>2018</v>
      </c>
      <c r="M601" s="8" t="s">
        <v>4038</v>
      </c>
      <c r="N601" s="8" t="s">
        <v>42</v>
      </c>
      <c r="O601" s="8" t="s">
        <v>169</v>
      </c>
      <c r="P601" s="6" t="s">
        <v>44</v>
      </c>
      <c r="Q601" s="8" t="s">
        <v>45</v>
      </c>
      <c r="R601" s="10" t="s">
        <v>4032</v>
      </c>
      <c r="S601" s="11" t="s">
        <v>4039</v>
      </c>
      <c r="T601" s="6"/>
      <c r="U601" s="24" t="str">
        <f>HYPERLINK("https://media.infra-m.ru/0942/0942771/cover/942771.jpg", "Обложка")</f>
        <v>Обложка</v>
      </c>
      <c r="V601" s="24" t="str">
        <f>HYPERLINK("https://znanium.ru/catalog/product/2217984", "Ознакомиться")</f>
        <v>Ознакомиться</v>
      </c>
      <c r="W601" s="8" t="s">
        <v>1152</v>
      </c>
      <c r="X601" s="6"/>
      <c r="Y601" s="6" t="s">
        <v>30</v>
      </c>
      <c r="Z601" s="6"/>
      <c r="AA601" s="6" t="s">
        <v>988</v>
      </c>
      <c r="AB601" s="8"/>
    </row>
    <row r="602" spans="1:28" s="4" customFormat="1" ht="51.95" customHeight="1">
      <c r="A602" s="5">
        <v>0</v>
      </c>
      <c r="B602" s="6" t="s">
        <v>4040</v>
      </c>
      <c r="C602" s="7">
        <v>1734</v>
      </c>
      <c r="D602" s="8" t="s">
        <v>4041</v>
      </c>
      <c r="E602" s="8" t="s">
        <v>4042</v>
      </c>
      <c r="F602" s="8" t="s">
        <v>3553</v>
      </c>
      <c r="G602" s="6" t="s">
        <v>38</v>
      </c>
      <c r="H602" s="6" t="s">
        <v>299</v>
      </c>
      <c r="I602" s="8" t="s">
        <v>69</v>
      </c>
      <c r="J602" s="9">
        <v>1</v>
      </c>
      <c r="K602" s="9">
        <v>368</v>
      </c>
      <c r="L602" s="9">
        <v>2024</v>
      </c>
      <c r="M602" s="8" t="s">
        <v>4043</v>
      </c>
      <c r="N602" s="8" t="s">
        <v>42</v>
      </c>
      <c r="O602" s="8" t="s">
        <v>169</v>
      </c>
      <c r="P602" s="6" t="s">
        <v>58</v>
      </c>
      <c r="Q602" s="8" t="s">
        <v>45</v>
      </c>
      <c r="R602" s="10" t="s">
        <v>4044</v>
      </c>
      <c r="S602" s="11" t="s">
        <v>4045</v>
      </c>
      <c r="T602" s="6"/>
      <c r="U602" s="24" t="str">
        <f>HYPERLINK("https://media.infra-m.ru/2103/2103205/cover/2103205.jpg", "Обложка")</f>
        <v>Обложка</v>
      </c>
      <c r="V602" s="24" t="str">
        <f>HYPERLINK("https://znanium.ru/catalog/product/1214042", "Ознакомиться")</f>
        <v>Ознакомиться</v>
      </c>
      <c r="W602" s="8" t="s">
        <v>172</v>
      </c>
      <c r="X602" s="6"/>
      <c r="Y602" s="6"/>
      <c r="Z602" s="6"/>
      <c r="AA602" s="6" t="s">
        <v>1644</v>
      </c>
      <c r="AB602" s="8"/>
    </row>
    <row r="603" spans="1:28" s="4" customFormat="1" ht="42" customHeight="1">
      <c r="A603" s="5">
        <v>0</v>
      </c>
      <c r="B603" s="6" t="s">
        <v>4046</v>
      </c>
      <c r="C603" s="7">
        <v>1090</v>
      </c>
      <c r="D603" s="8" t="s">
        <v>4047</v>
      </c>
      <c r="E603" s="8" t="s">
        <v>4048</v>
      </c>
      <c r="F603" s="8" t="s">
        <v>4049</v>
      </c>
      <c r="G603" s="6" t="s">
        <v>38</v>
      </c>
      <c r="H603" s="6" t="s">
        <v>54</v>
      </c>
      <c r="I603" s="8" t="s">
        <v>40</v>
      </c>
      <c r="J603" s="9">
        <v>1</v>
      </c>
      <c r="K603" s="9">
        <v>231</v>
      </c>
      <c r="L603" s="9">
        <v>2024</v>
      </c>
      <c r="M603" s="8" t="s">
        <v>4050</v>
      </c>
      <c r="N603" s="8" t="s">
        <v>42</v>
      </c>
      <c r="O603" s="8" t="s">
        <v>169</v>
      </c>
      <c r="P603" s="6" t="s">
        <v>44</v>
      </c>
      <c r="Q603" s="8" t="s">
        <v>45</v>
      </c>
      <c r="R603" s="10" t="s">
        <v>4051</v>
      </c>
      <c r="S603" s="11"/>
      <c r="T603" s="6"/>
      <c r="U603" s="24" t="str">
        <f>HYPERLINK("https://media.infra-m.ru/2147/2147814/cover/2147814.jpg", "Обложка")</f>
        <v>Обложка</v>
      </c>
      <c r="V603" s="24" t="str">
        <f>HYPERLINK("https://znanium.ru/catalog/product/2147814", "Ознакомиться")</f>
        <v>Ознакомиться</v>
      </c>
      <c r="W603" s="8" t="s">
        <v>4052</v>
      </c>
      <c r="X603" s="6"/>
      <c r="Y603" s="6"/>
      <c r="Z603" s="6" t="s">
        <v>48</v>
      </c>
      <c r="AA603" s="6" t="s">
        <v>354</v>
      </c>
      <c r="AB603" s="8"/>
    </row>
    <row r="604" spans="1:28" s="4" customFormat="1" ht="51.95" customHeight="1">
      <c r="A604" s="5">
        <v>0</v>
      </c>
      <c r="B604" s="6" t="s">
        <v>4053</v>
      </c>
      <c r="C604" s="7">
        <v>2354</v>
      </c>
      <c r="D604" s="8" t="s">
        <v>4054</v>
      </c>
      <c r="E604" s="8" t="s">
        <v>4055</v>
      </c>
      <c r="F604" s="8" t="s">
        <v>4056</v>
      </c>
      <c r="G604" s="6" t="s">
        <v>38</v>
      </c>
      <c r="H604" s="6" t="s">
        <v>54</v>
      </c>
      <c r="I604" s="8" t="s">
        <v>40</v>
      </c>
      <c r="J604" s="9">
        <v>1</v>
      </c>
      <c r="K604" s="9">
        <v>448</v>
      </c>
      <c r="L604" s="9">
        <v>2026</v>
      </c>
      <c r="M604" s="8" t="s">
        <v>4057</v>
      </c>
      <c r="N604" s="8" t="s">
        <v>42</v>
      </c>
      <c r="O604" s="8" t="s">
        <v>169</v>
      </c>
      <c r="P604" s="6" t="s">
        <v>44</v>
      </c>
      <c r="Q604" s="8" t="s">
        <v>45</v>
      </c>
      <c r="R604" s="10" t="s">
        <v>4058</v>
      </c>
      <c r="S604" s="11" t="s">
        <v>4059</v>
      </c>
      <c r="T604" s="6"/>
      <c r="U604" s="24" t="str">
        <f>HYPERLINK("https://media.infra-m.ru/2223/2223196/cover/2223196.jpg", "Обложка")</f>
        <v>Обложка</v>
      </c>
      <c r="V604" s="24" t="str">
        <f>HYPERLINK("https://znanium.ru/catalog/product/2208477", "Ознакомиться")</f>
        <v>Ознакомиться</v>
      </c>
      <c r="W604" s="8" t="s">
        <v>1943</v>
      </c>
      <c r="X604" s="6"/>
      <c r="Y604" s="6"/>
      <c r="Z604" s="6"/>
      <c r="AA604" s="6" t="s">
        <v>111</v>
      </c>
      <c r="AB604" s="8"/>
    </row>
    <row r="605" spans="1:28" s="4" customFormat="1" ht="51.95" customHeight="1">
      <c r="A605" s="5">
        <v>0</v>
      </c>
      <c r="B605" s="6" t="s">
        <v>4060</v>
      </c>
      <c r="C605" s="13">
        <v>770</v>
      </c>
      <c r="D605" s="8" t="s">
        <v>4061</v>
      </c>
      <c r="E605" s="8" t="s">
        <v>4062</v>
      </c>
      <c r="F605" s="8" t="s">
        <v>2245</v>
      </c>
      <c r="G605" s="6" t="s">
        <v>38</v>
      </c>
      <c r="H605" s="6" t="s">
        <v>54</v>
      </c>
      <c r="I605" s="8" t="s">
        <v>40</v>
      </c>
      <c r="J605" s="9">
        <v>1</v>
      </c>
      <c r="K605" s="9">
        <v>184</v>
      </c>
      <c r="L605" s="9">
        <v>2022</v>
      </c>
      <c r="M605" s="8" t="s">
        <v>4063</v>
      </c>
      <c r="N605" s="8" t="s">
        <v>42</v>
      </c>
      <c r="O605" s="8" t="s">
        <v>43</v>
      </c>
      <c r="P605" s="6" t="s">
        <v>44</v>
      </c>
      <c r="Q605" s="8" t="s">
        <v>45</v>
      </c>
      <c r="R605" s="10" t="s">
        <v>4064</v>
      </c>
      <c r="S605" s="11" t="s">
        <v>4065</v>
      </c>
      <c r="T605" s="6"/>
      <c r="U605" s="24" t="str">
        <f>HYPERLINK("https://media.infra-m.ru/1846/1846131/cover/1846131.jpg", "Обложка")</f>
        <v>Обложка</v>
      </c>
      <c r="V605" s="24" t="str">
        <f>HYPERLINK("https://znanium.ru/catalog/product/1846131", "Ознакомиться")</f>
        <v>Ознакомиться</v>
      </c>
      <c r="W605" s="8"/>
      <c r="X605" s="6"/>
      <c r="Y605" s="6"/>
      <c r="Z605" s="6"/>
      <c r="AA605" s="6" t="s">
        <v>500</v>
      </c>
      <c r="AB605" s="8"/>
    </row>
    <row r="606" spans="1:28" s="4" customFormat="1" ht="51.95" customHeight="1">
      <c r="A606" s="5">
        <v>0</v>
      </c>
      <c r="B606" s="6" t="s">
        <v>4066</v>
      </c>
      <c r="C606" s="7">
        <v>1020</v>
      </c>
      <c r="D606" s="8" t="s">
        <v>4067</v>
      </c>
      <c r="E606" s="8" t="s">
        <v>4068</v>
      </c>
      <c r="F606" s="8" t="s">
        <v>2447</v>
      </c>
      <c r="G606" s="6" t="s">
        <v>90</v>
      </c>
      <c r="H606" s="6" t="s">
        <v>54</v>
      </c>
      <c r="I606" s="8" t="s">
        <v>40</v>
      </c>
      <c r="J606" s="9">
        <v>1</v>
      </c>
      <c r="K606" s="9">
        <v>185</v>
      </c>
      <c r="L606" s="9">
        <v>2026</v>
      </c>
      <c r="M606" s="8" t="s">
        <v>4069</v>
      </c>
      <c r="N606" s="8" t="s">
        <v>125</v>
      </c>
      <c r="O606" s="8" t="s">
        <v>352</v>
      </c>
      <c r="P606" s="6" t="s">
        <v>58</v>
      </c>
      <c r="Q606" s="8" t="s">
        <v>45</v>
      </c>
      <c r="R606" s="10" t="s">
        <v>4070</v>
      </c>
      <c r="S606" s="11"/>
      <c r="T606" s="6"/>
      <c r="U606" s="24" t="str">
        <f>HYPERLINK("https://media.infra-m.ru/2156/2156895/cover/2156895.jpg", "Обложка")</f>
        <v>Обложка</v>
      </c>
      <c r="V606" s="24" t="str">
        <f>HYPERLINK("https://znanium.ru/catalog/product/2156895", "Ознакомиться")</f>
        <v>Ознакомиться</v>
      </c>
      <c r="W606" s="8" t="s">
        <v>1560</v>
      </c>
      <c r="X606" s="6" t="s">
        <v>61</v>
      </c>
      <c r="Y606" s="6"/>
      <c r="Z606" s="6" t="s">
        <v>48</v>
      </c>
      <c r="AA606" s="6" t="s">
        <v>1061</v>
      </c>
      <c r="AB606" s="8"/>
    </row>
    <row r="607" spans="1:28" s="4" customFormat="1" ht="51.95" customHeight="1">
      <c r="A607" s="5">
        <v>0</v>
      </c>
      <c r="B607" s="6" t="s">
        <v>4071</v>
      </c>
      <c r="C607" s="7">
        <v>1684</v>
      </c>
      <c r="D607" s="8" t="s">
        <v>4072</v>
      </c>
      <c r="E607" s="8" t="s">
        <v>4073</v>
      </c>
      <c r="F607" s="8" t="s">
        <v>4074</v>
      </c>
      <c r="G607" s="6" t="s">
        <v>90</v>
      </c>
      <c r="H607" s="6" t="s">
        <v>54</v>
      </c>
      <c r="I607" s="8" t="s">
        <v>40</v>
      </c>
      <c r="J607" s="9">
        <v>1</v>
      </c>
      <c r="K607" s="9">
        <v>336</v>
      </c>
      <c r="L607" s="9">
        <v>2025</v>
      </c>
      <c r="M607" s="8" t="s">
        <v>4075</v>
      </c>
      <c r="N607" s="8" t="s">
        <v>42</v>
      </c>
      <c r="O607" s="8" t="s">
        <v>187</v>
      </c>
      <c r="P607" s="6" t="s">
        <v>58</v>
      </c>
      <c r="Q607" s="8" t="s">
        <v>45</v>
      </c>
      <c r="R607" s="10" t="s">
        <v>4076</v>
      </c>
      <c r="S607" s="11" t="s">
        <v>4077</v>
      </c>
      <c r="T607" s="6"/>
      <c r="U607" s="24" t="str">
        <f>HYPERLINK("https://media.infra-m.ru/2184/2184912/cover/2184912.jpg", "Обложка")</f>
        <v>Обложка</v>
      </c>
      <c r="V607" s="24" t="str">
        <f>HYPERLINK("https://znanium.ru/catalog/product/1896607", "Ознакомиться")</f>
        <v>Ознакомиться</v>
      </c>
      <c r="W607" s="8" t="s">
        <v>190</v>
      </c>
      <c r="X607" s="6"/>
      <c r="Y607" s="6" t="s">
        <v>30</v>
      </c>
      <c r="Z607" s="6"/>
      <c r="AA607" s="6" t="s">
        <v>1526</v>
      </c>
      <c r="AB607" s="8"/>
    </row>
    <row r="608" spans="1:28" s="4" customFormat="1" ht="51.95" customHeight="1">
      <c r="A608" s="5">
        <v>0</v>
      </c>
      <c r="B608" s="6" t="s">
        <v>4078</v>
      </c>
      <c r="C608" s="13">
        <v>999</v>
      </c>
      <c r="D608" s="8" t="s">
        <v>4079</v>
      </c>
      <c r="E608" s="8" t="s">
        <v>4080</v>
      </c>
      <c r="F608" s="8" t="s">
        <v>4081</v>
      </c>
      <c r="G608" s="6" t="s">
        <v>90</v>
      </c>
      <c r="H608" s="6" t="s">
        <v>39</v>
      </c>
      <c r="I608" s="8" t="s">
        <v>40</v>
      </c>
      <c r="J608" s="9">
        <v>1</v>
      </c>
      <c r="K608" s="9">
        <v>159</v>
      </c>
      <c r="L608" s="9">
        <v>2025</v>
      </c>
      <c r="M608" s="8" t="s">
        <v>4082</v>
      </c>
      <c r="N608" s="8" t="s">
        <v>42</v>
      </c>
      <c r="O608" s="8" t="s">
        <v>187</v>
      </c>
      <c r="P608" s="6" t="s">
        <v>44</v>
      </c>
      <c r="Q608" s="8" t="s">
        <v>45</v>
      </c>
      <c r="R608" s="10" t="s">
        <v>4083</v>
      </c>
      <c r="S608" s="11" t="s">
        <v>4084</v>
      </c>
      <c r="T608" s="6"/>
      <c r="U608" s="24" t="str">
        <f>HYPERLINK("https://media.infra-m.ru/2163/2163283/cover/2163283.jpg", "Обложка")</f>
        <v>Обложка</v>
      </c>
      <c r="V608" s="24" t="str">
        <f>HYPERLINK("https://znanium.ru/catalog/product/2163283", "Ознакомиться")</f>
        <v>Ознакомиться</v>
      </c>
      <c r="W608" s="8" t="s">
        <v>4085</v>
      </c>
      <c r="X608" s="6"/>
      <c r="Y608" s="6"/>
      <c r="Z608" s="6" t="s">
        <v>207</v>
      </c>
      <c r="AA608" s="6" t="s">
        <v>740</v>
      </c>
      <c r="AB608" s="8"/>
    </row>
    <row r="609" spans="1:28" s="4" customFormat="1" ht="51.95" customHeight="1">
      <c r="A609" s="5">
        <v>0</v>
      </c>
      <c r="B609" s="6" t="s">
        <v>4086</v>
      </c>
      <c r="C609" s="7">
        <v>1160</v>
      </c>
      <c r="D609" s="8" t="s">
        <v>4087</v>
      </c>
      <c r="E609" s="8" t="s">
        <v>4088</v>
      </c>
      <c r="F609" s="8" t="s">
        <v>4089</v>
      </c>
      <c r="G609" s="6" t="s">
        <v>90</v>
      </c>
      <c r="H609" s="6" t="s">
        <v>54</v>
      </c>
      <c r="I609" s="8" t="s">
        <v>40</v>
      </c>
      <c r="J609" s="9">
        <v>1</v>
      </c>
      <c r="K609" s="9">
        <v>232</v>
      </c>
      <c r="L609" s="9">
        <v>2025</v>
      </c>
      <c r="M609" s="8" t="s">
        <v>4090</v>
      </c>
      <c r="N609" s="8" t="s">
        <v>42</v>
      </c>
      <c r="O609" s="8" t="s">
        <v>243</v>
      </c>
      <c r="P609" s="6" t="s">
        <v>44</v>
      </c>
      <c r="Q609" s="8" t="s">
        <v>45</v>
      </c>
      <c r="R609" s="10" t="s">
        <v>4091</v>
      </c>
      <c r="S609" s="11" t="s">
        <v>4092</v>
      </c>
      <c r="T609" s="6" t="s">
        <v>118</v>
      </c>
      <c r="U609" s="24" t="str">
        <f>HYPERLINK("https://media.infra-m.ru/2180/2180553/cover/2180553.jpg", "Обложка")</f>
        <v>Обложка</v>
      </c>
      <c r="V609" s="24" t="str">
        <f>HYPERLINK("https://znanium.ru/catalog/product/2180553", "Ознакомиться")</f>
        <v>Ознакомиться</v>
      </c>
      <c r="W609" s="8" t="s">
        <v>2695</v>
      </c>
      <c r="X609" s="6"/>
      <c r="Y609" s="6"/>
      <c r="Z609" s="6" t="s">
        <v>929</v>
      </c>
      <c r="AA609" s="6" t="s">
        <v>740</v>
      </c>
      <c r="AB609" s="8"/>
    </row>
    <row r="610" spans="1:28" s="4" customFormat="1" ht="51.95" customHeight="1">
      <c r="A610" s="5">
        <v>0</v>
      </c>
      <c r="B610" s="6" t="s">
        <v>4093</v>
      </c>
      <c r="C610" s="7">
        <v>2080</v>
      </c>
      <c r="D610" s="8" t="s">
        <v>4094</v>
      </c>
      <c r="E610" s="8" t="s">
        <v>4095</v>
      </c>
      <c r="F610" s="8" t="s">
        <v>4089</v>
      </c>
      <c r="G610" s="6" t="s">
        <v>90</v>
      </c>
      <c r="H610" s="6" t="s">
        <v>54</v>
      </c>
      <c r="I610" s="8" t="s">
        <v>40</v>
      </c>
      <c r="J610" s="9">
        <v>1</v>
      </c>
      <c r="K610" s="9">
        <v>399</v>
      </c>
      <c r="L610" s="9">
        <v>2025</v>
      </c>
      <c r="M610" s="8" t="s">
        <v>4096</v>
      </c>
      <c r="N610" s="8" t="s">
        <v>42</v>
      </c>
      <c r="O610" s="8" t="s">
        <v>243</v>
      </c>
      <c r="P610" s="6" t="s">
        <v>44</v>
      </c>
      <c r="Q610" s="8" t="s">
        <v>45</v>
      </c>
      <c r="R610" s="10" t="s">
        <v>4097</v>
      </c>
      <c r="S610" s="11" t="s">
        <v>4098</v>
      </c>
      <c r="T610" s="6"/>
      <c r="U610" s="24" t="str">
        <f>HYPERLINK("https://media.infra-m.ru/2209/2209230/cover/2209230.jpg", "Обложка")</f>
        <v>Обложка</v>
      </c>
      <c r="V610" s="24" t="str">
        <f>HYPERLINK("https://znanium.ru/catalog/product/2209230", "Ознакомиться")</f>
        <v>Ознакомиться</v>
      </c>
      <c r="W610" s="8" t="s">
        <v>2695</v>
      </c>
      <c r="X610" s="6"/>
      <c r="Y610" s="6"/>
      <c r="Z610" s="6" t="s">
        <v>929</v>
      </c>
      <c r="AA610" s="6" t="s">
        <v>223</v>
      </c>
      <c r="AB610" s="8"/>
    </row>
    <row r="611" spans="1:28" s="4" customFormat="1" ht="51.95" customHeight="1">
      <c r="A611" s="5">
        <v>0</v>
      </c>
      <c r="B611" s="6" t="s">
        <v>4099</v>
      </c>
      <c r="C611" s="7">
        <v>2050</v>
      </c>
      <c r="D611" s="8" t="s">
        <v>4100</v>
      </c>
      <c r="E611" s="8" t="s">
        <v>4101</v>
      </c>
      <c r="F611" s="8" t="s">
        <v>4089</v>
      </c>
      <c r="G611" s="6" t="s">
        <v>90</v>
      </c>
      <c r="H611" s="6" t="s">
        <v>54</v>
      </c>
      <c r="I611" s="8" t="s">
        <v>3762</v>
      </c>
      <c r="J611" s="9">
        <v>1</v>
      </c>
      <c r="K611" s="9">
        <v>372</v>
      </c>
      <c r="L611" s="9">
        <v>2026</v>
      </c>
      <c r="M611" s="8" t="s">
        <v>4102</v>
      </c>
      <c r="N611" s="8" t="s">
        <v>42</v>
      </c>
      <c r="O611" s="8" t="s">
        <v>243</v>
      </c>
      <c r="P611" s="6" t="s">
        <v>44</v>
      </c>
      <c r="Q611" s="8" t="s">
        <v>45</v>
      </c>
      <c r="R611" s="10" t="s">
        <v>4097</v>
      </c>
      <c r="S611" s="11" t="s">
        <v>4103</v>
      </c>
      <c r="T611" s="6" t="s">
        <v>118</v>
      </c>
      <c r="U611" s="24" t="str">
        <f>HYPERLINK("https://media.infra-m.ru/2214/2214935/cover/2214935.jpg", "Обложка")</f>
        <v>Обложка</v>
      </c>
      <c r="V611" s="24" t="str">
        <f>HYPERLINK("https://znanium.ru/catalog/product/2214935", "Ознакомиться")</f>
        <v>Ознакомиться</v>
      </c>
      <c r="W611" s="8" t="s">
        <v>2695</v>
      </c>
      <c r="X611" s="6"/>
      <c r="Y611" s="6"/>
      <c r="Z611" s="6" t="s">
        <v>929</v>
      </c>
      <c r="AA611" s="6" t="s">
        <v>740</v>
      </c>
      <c r="AB611" s="8"/>
    </row>
    <row r="612" spans="1:28" s="4" customFormat="1" ht="51.95" customHeight="1">
      <c r="A612" s="5">
        <v>0</v>
      </c>
      <c r="B612" s="6" t="s">
        <v>4104</v>
      </c>
      <c r="C612" s="7">
        <v>1600</v>
      </c>
      <c r="D612" s="8" t="s">
        <v>4105</v>
      </c>
      <c r="E612" s="8" t="s">
        <v>4106</v>
      </c>
      <c r="F612" s="8" t="s">
        <v>3275</v>
      </c>
      <c r="G612" s="6" t="s">
        <v>90</v>
      </c>
      <c r="H612" s="6" t="s">
        <v>54</v>
      </c>
      <c r="I612" s="8" t="s">
        <v>40</v>
      </c>
      <c r="J612" s="9">
        <v>1</v>
      </c>
      <c r="K612" s="9">
        <v>320</v>
      </c>
      <c r="L612" s="9">
        <v>2025</v>
      </c>
      <c r="M612" s="8" t="s">
        <v>4107</v>
      </c>
      <c r="N612" s="8" t="s">
        <v>1306</v>
      </c>
      <c r="O612" s="8" t="s">
        <v>1307</v>
      </c>
      <c r="P612" s="6" t="s">
        <v>1285</v>
      </c>
      <c r="Q612" s="8" t="s">
        <v>45</v>
      </c>
      <c r="R612" s="10" t="s">
        <v>4108</v>
      </c>
      <c r="S612" s="11" t="s">
        <v>4109</v>
      </c>
      <c r="T612" s="6"/>
      <c r="U612" s="24" t="str">
        <f>HYPERLINK("https://media.infra-m.ru/2169/2169211/cover/2169211.jpg", "Обложка")</f>
        <v>Обложка</v>
      </c>
      <c r="V612" s="24" t="str">
        <f>HYPERLINK("https://znanium.ru/catalog/product/2169211", "Ознакомиться")</f>
        <v>Ознакомиться</v>
      </c>
      <c r="W612" s="8" t="s">
        <v>3279</v>
      </c>
      <c r="X612" s="6"/>
      <c r="Y612" s="6"/>
      <c r="Z612" s="6" t="s">
        <v>156</v>
      </c>
      <c r="AA612" s="6" t="s">
        <v>563</v>
      </c>
      <c r="AB612" s="8"/>
    </row>
    <row r="613" spans="1:28" s="4" customFormat="1" ht="51.95" customHeight="1">
      <c r="A613" s="5">
        <v>0</v>
      </c>
      <c r="B613" s="6" t="s">
        <v>4110</v>
      </c>
      <c r="C613" s="7">
        <v>1460</v>
      </c>
      <c r="D613" s="8" t="s">
        <v>4111</v>
      </c>
      <c r="E613" s="8" t="s">
        <v>4112</v>
      </c>
      <c r="F613" s="8" t="s">
        <v>3275</v>
      </c>
      <c r="G613" s="6" t="s">
        <v>90</v>
      </c>
      <c r="H613" s="6" t="s">
        <v>54</v>
      </c>
      <c r="I613" s="8" t="s">
        <v>40</v>
      </c>
      <c r="J613" s="9">
        <v>1</v>
      </c>
      <c r="K613" s="9">
        <v>281</v>
      </c>
      <c r="L613" s="9">
        <v>2026</v>
      </c>
      <c r="M613" s="8" t="s">
        <v>4113</v>
      </c>
      <c r="N613" s="8" t="s">
        <v>1306</v>
      </c>
      <c r="O613" s="8" t="s">
        <v>1307</v>
      </c>
      <c r="P613" s="6" t="s">
        <v>44</v>
      </c>
      <c r="Q613" s="8" t="s">
        <v>45</v>
      </c>
      <c r="R613" s="10" t="s">
        <v>4114</v>
      </c>
      <c r="S613" s="11" t="s">
        <v>4115</v>
      </c>
      <c r="T613" s="6"/>
      <c r="U613" s="24" t="str">
        <f>HYPERLINK("https://media.infra-m.ru/2219/2219316/cover/2219316.jpg", "Обложка")</f>
        <v>Обложка</v>
      </c>
      <c r="V613" s="24" t="str">
        <f>HYPERLINK("https://znanium.ru/catalog/product/2219316", "Ознакомиться")</f>
        <v>Ознакомиться</v>
      </c>
      <c r="W613" s="8" t="s">
        <v>3279</v>
      </c>
      <c r="X613" s="6"/>
      <c r="Y613" s="6"/>
      <c r="Z613" s="6" t="s">
        <v>156</v>
      </c>
      <c r="AA613" s="6" t="s">
        <v>74</v>
      </c>
      <c r="AB613" s="8"/>
    </row>
    <row r="614" spans="1:28" s="4" customFormat="1" ht="42" customHeight="1">
      <c r="A614" s="5">
        <v>0</v>
      </c>
      <c r="B614" s="6" t="s">
        <v>4116</v>
      </c>
      <c r="C614" s="7">
        <v>1430</v>
      </c>
      <c r="D614" s="8" t="s">
        <v>4117</v>
      </c>
      <c r="E614" s="8" t="s">
        <v>4118</v>
      </c>
      <c r="F614" s="8" t="s">
        <v>3275</v>
      </c>
      <c r="G614" s="6" t="s">
        <v>38</v>
      </c>
      <c r="H614" s="6" t="s">
        <v>54</v>
      </c>
      <c r="I614" s="8" t="s">
        <v>40</v>
      </c>
      <c r="J614" s="9">
        <v>1</v>
      </c>
      <c r="K614" s="9">
        <v>285</v>
      </c>
      <c r="L614" s="9">
        <v>2025</v>
      </c>
      <c r="M614" s="8" t="s">
        <v>4119</v>
      </c>
      <c r="N614" s="8" t="s">
        <v>1306</v>
      </c>
      <c r="O614" s="8" t="s">
        <v>1307</v>
      </c>
      <c r="P614" s="6" t="s">
        <v>44</v>
      </c>
      <c r="Q614" s="8" t="s">
        <v>45</v>
      </c>
      <c r="R614" s="10" t="s">
        <v>4120</v>
      </c>
      <c r="S614" s="11"/>
      <c r="T614" s="6"/>
      <c r="U614" s="24" t="str">
        <f>HYPERLINK("https://media.infra-m.ru/2181/2181229/cover/2181229.jpg", "Обложка")</f>
        <v>Обложка</v>
      </c>
      <c r="V614" s="24" t="str">
        <f>HYPERLINK("https://znanium.ru/catalog/product/2181229", "Ознакомиться")</f>
        <v>Ознакомиться</v>
      </c>
      <c r="W614" s="8" t="s">
        <v>3279</v>
      </c>
      <c r="X614" s="6" t="s">
        <v>83</v>
      </c>
      <c r="Y614" s="6"/>
      <c r="Z614" s="6" t="s">
        <v>48</v>
      </c>
      <c r="AA614" s="6" t="s">
        <v>84</v>
      </c>
      <c r="AB614" s="8"/>
    </row>
    <row r="615" spans="1:28" s="4" customFormat="1" ht="51.95" customHeight="1">
      <c r="A615" s="5">
        <v>0</v>
      </c>
      <c r="B615" s="6" t="s">
        <v>4121</v>
      </c>
      <c r="C615" s="13">
        <v>860</v>
      </c>
      <c r="D615" s="8" t="s">
        <v>4122</v>
      </c>
      <c r="E615" s="8" t="s">
        <v>4123</v>
      </c>
      <c r="F615" s="8" t="s">
        <v>4124</v>
      </c>
      <c r="G615" s="6" t="s">
        <v>90</v>
      </c>
      <c r="H615" s="6" t="s">
        <v>54</v>
      </c>
      <c r="I615" s="8" t="s">
        <v>40</v>
      </c>
      <c r="J615" s="9">
        <v>1</v>
      </c>
      <c r="K615" s="9">
        <v>191</v>
      </c>
      <c r="L615" s="9">
        <v>2023</v>
      </c>
      <c r="M615" s="8" t="s">
        <v>4125</v>
      </c>
      <c r="N615" s="8" t="s">
        <v>1306</v>
      </c>
      <c r="O615" s="8" t="s">
        <v>1307</v>
      </c>
      <c r="P615" s="6" t="s">
        <v>44</v>
      </c>
      <c r="Q615" s="8" t="s">
        <v>45</v>
      </c>
      <c r="R615" s="10" t="s">
        <v>4126</v>
      </c>
      <c r="S615" s="11" t="s">
        <v>4127</v>
      </c>
      <c r="T615" s="6"/>
      <c r="U615" s="24" t="str">
        <f>HYPERLINK("https://media.infra-m.ru/1920/1920366/cover/1920366.jpg", "Обложка")</f>
        <v>Обложка</v>
      </c>
      <c r="V615" s="24" t="str">
        <f>HYPERLINK("https://znanium.ru/catalog/product/1920366", "Ознакомиться")</f>
        <v>Ознакомиться</v>
      </c>
      <c r="W615" s="8" t="s">
        <v>2443</v>
      </c>
      <c r="X615" s="6"/>
      <c r="Y615" s="6"/>
      <c r="Z615" s="6" t="s">
        <v>48</v>
      </c>
      <c r="AA615" s="6" t="s">
        <v>102</v>
      </c>
      <c r="AB615" s="8"/>
    </row>
    <row r="616" spans="1:28" s="4" customFormat="1" ht="51.95" customHeight="1">
      <c r="A616" s="5">
        <v>0</v>
      </c>
      <c r="B616" s="6" t="s">
        <v>4128</v>
      </c>
      <c r="C616" s="7">
        <v>1520</v>
      </c>
      <c r="D616" s="8" t="s">
        <v>4129</v>
      </c>
      <c r="E616" s="8" t="s">
        <v>4130</v>
      </c>
      <c r="F616" s="8" t="s">
        <v>4131</v>
      </c>
      <c r="G616" s="6" t="s">
        <v>90</v>
      </c>
      <c r="H616" s="6" t="s">
        <v>54</v>
      </c>
      <c r="I616" s="8" t="s">
        <v>40</v>
      </c>
      <c r="J616" s="9">
        <v>1</v>
      </c>
      <c r="K616" s="9">
        <v>304</v>
      </c>
      <c r="L616" s="9">
        <v>2025</v>
      </c>
      <c r="M616" s="8" t="s">
        <v>4132</v>
      </c>
      <c r="N616" s="8" t="s">
        <v>535</v>
      </c>
      <c r="O616" s="8" t="s">
        <v>536</v>
      </c>
      <c r="P616" s="6" t="s">
        <v>44</v>
      </c>
      <c r="Q616" s="8" t="s">
        <v>45</v>
      </c>
      <c r="R616" s="10" t="s">
        <v>4133</v>
      </c>
      <c r="S616" s="11"/>
      <c r="T616" s="6"/>
      <c r="U616" s="24" t="str">
        <f>HYPERLINK("https://media.infra-m.ru/2169/2169833/cover/2169833.jpg", "Обложка")</f>
        <v>Обложка</v>
      </c>
      <c r="V616" s="24" t="str">
        <f>HYPERLINK("https://znanium.ru/catalog/product/2169833", "Ознакомиться")</f>
        <v>Ознакомиться</v>
      </c>
      <c r="W616" s="8" t="s">
        <v>146</v>
      </c>
      <c r="X616" s="6" t="s">
        <v>367</v>
      </c>
      <c r="Y616" s="6"/>
      <c r="Z616" s="6" t="s">
        <v>48</v>
      </c>
      <c r="AA616" s="6" t="s">
        <v>231</v>
      </c>
      <c r="AB616" s="8"/>
    </row>
    <row r="617" spans="1:28" s="4" customFormat="1" ht="51.95" customHeight="1">
      <c r="A617" s="5">
        <v>0</v>
      </c>
      <c r="B617" s="6" t="s">
        <v>4134</v>
      </c>
      <c r="C617" s="7">
        <v>1960</v>
      </c>
      <c r="D617" s="8" t="s">
        <v>4135</v>
      </c>
      <c r="E617" s="8" t="s">
        <v>4136</v>
      </c>
      <c r="F617" s="8" t="s">
        <v>4137</v>
      </c>
      <c r="G617" s="6" t="s">
        <v>38</v>
      </c>
      <c r="H617" s="6" t="s">
        <v>54</v>
      </c>
      <c r="I617" s="8" t="s">
        <v>40</v>
      </c>
      <c r="J617" s="9">
        <v>1</v>
      </c>
      <c r="K617" s="9">
        <v>425</v>
      </c>
      <c r="L617" s="9">
        <v>2024</v>
      </c>
      <c r="M617" s="8" t="s">
        <v>4138</v>
      </c>
      <c r="N617" s="8" t="s">
        <v>1306</v>
      </c>
      <c r="O617" s="8" t="s">
        <v>1307</v>
      </c>
      <c r="P617" s="6" t="s">
        <v>58</v>
      </c>
      <c r="Q617" s="8" t="s">
        <v>45</v>
      </c>
      <c r="R617" s="10" t="s">
        <v>1308</v>
      </c>
      <c r="S617" s="11" t="s">
        <v>4139</v>
      </c>
      <c r="T617" s="6" t="s">
        <v>118</v>
      </c>
      <c r="U617" s="24" t="str">
        <f>HYPERLINK("https://media.infra-m.ru/2102/2102690/cover/2102690.jpg", "Обложка")</f>
        <v>Обложка</v>
      </c>
      <c r="V617" s="24" t="str">
        <f>HYPERLINK("https://znanium.ru/catalog/product/2102690", "Ознакомиться")</f>
        <v>Ознакомиться</v>
      </c>
      <c r="W617" s="8"/>
      <c r="X617" s="6"/>
      <c r="Y617" s="6"/>
      <c r="Z617" s="6"/>
      <c r="AA617" s="6" t="s">
        <v>1547</v>
      </c>
      <c r="AB617" s="8" t="s">
        <v>401</v>
      </c>
    </row>
    <row r="618" spans="1:28" s="4" customFormat="1" ht="51.95" customHeight="1">
      <c r="A618" s="5">
        <v>0</v>
      </c>
      <c r="B618" s="6" t="s">
        <v>4140</v>
      </c>
      <c r="C618" s="7">
        <v>1050</v>
      </c>
      <c r="D618" s="8" t="s">
        <v>4141</v>
      </c>
      <c r="E618" s="8" t="s">
        <v>4142</v>
      </c>
      <c r="F618" s="8" t="s">
        <v>4143</v>
      </c>
      <c r="G618" s="6" t="s">
        <v>90</v>
      </c>
      <c r="H618" s="6" t="s">
        <v>54</v>
      </c>
      <c r="I618" s="8" t="s">
        <v>40</v>
      </c>
      <c r="J618" s="9">
        <v>1</v>
      </c>
      <c r="K618" s="9">
        <v>196</v>
      </c>
      <c r="L618" s="9">
        <v>2026</v>
      </c>
      <c r="M618" s="8" t="s">
        <v>4144</v>
      </c>
      <c r="N618" s="8" t="s">
        <v>56</v>
      </c>
      <c r="O618" s="8" t="s">
        <v>343</v>
      </c>
      <c r="P618" s="6" t="s">
        <v>44</v>
      </c>
      <c r="Q618" s="8" t="s">
        <v>45</v>
      </c>
      <c r="R618" s="10" t="s">
        <v>4145</v>
      </c>
      <c r="S618" s="11" t="s">
        <v>4146</v>
      </c>
      <c r="T618" s="6"/>
      <c r="U618" s="24" t="str">
        <f>HYPERLINK("https://media.infra-m.ru/2215/2215828/cover/2215828.jpg", "Обложка")</f>
        <v>Обложка</v>
      </c>
      <c r="V618" s="24" t="str">
        <f>HYPERLINK("https://znanium.ru/catalog/product/2215828", "Ознакомиться")</f>
        <v>Ознакомиться</v>
      </c>
      <c r="W618" s="8" t="s">
        <v>466</v>
      </c>
      <c r="X618" s="6"/>
      <c r="Y618" s="6" t="s">
        <v>30</v>
      </c>
      <c r="Z618" s="6" t="s">
        <v>48</v>
      </c>
      <c r="AA618" s="6" t="s">
        <v>4147</v>
      </c>
      <c r="AB618" s="8"/>
    </row>
    <row r="619" spans="1:28" s="4" customFormat="1" ht="42" customHeight="1">
      <c r="A619" s="5">
        <v>0</v>
      </c>
      <c r="B619" s="6" t="s">
        <v>4148</v>
      </c>
      <c r="C619" s="7">
        <v>1050</v>
      </c>
      <c r="D619" s="8" t="s">
        <v>4149</v>
      </c>
      <c r="E619" s="8" t="s">
        <v>4150</v>
      </c>
      <c r="F619" s="8" t="s">
        <v>4151</v>
      </c>
      <c r="G619" s="6" t="s">
        <v>90</v>
      </c>
      <c r="H619" s="6" t="s">
        <v>54</v>
      </c>
      <c r="I619" s="8" t="s">
        <v>40</v>
      </c>
      <c r="J619" s="9">
        <v>1</v>
      </c>
      <c r="K619" s="9">
        <v>210</v>
      </c>
      <c r="L619" s="9">
        <v>2025</v>
      </c>
      <c r="M619" s="8" t="s">
        <v>4152</v>
      </c>
      <c r="N619" s="8" t="s">
        <v>1306</v>
      </c>
      <c r="O619" s="8" t="s">
        <v>1307</v>
      </c>
      <c r="P619" s="6" t="s">
        <v>44</v>
      </c>
      <c r="Q619" s="8" t="s">
        <v>45</v>
      </c>
      <c r="R619" s="10" t="s">
        <v>4108</v>
      </c>
      <c r="S619" s="11"/>
      <c r="T619" s="6"/>
      <c r="U619" s="24" t="str">
        <f>HYPERLINK("https://media.infra-m.ru/2169/2169281/cover/2169281.jpg", "Обложка")</f>
        <v>Обложка</v>
      </c>
      <c r="V619" s="24" t="str">
        <f>HYPERLINK("https://znanium.ru/catalog/product/2169281", "Ознакомиться")</f>
        <v>Ознакомиться</v>
      </c>
      <c r="W619" s="8" t="s">
        <v>3147</v>
      </c>
      <c r="X619" s="6" t="s">
        <v>367</v>
      </c>
      <c r="Y619" s="6"/>
      <c r="Z619" s="6" t="s">
        <v>48</v>
      </c>
      <c r="AA619" s="6" t="s">
        <v>84</v>
      </c>
      <c r="AB619" s="8"/>
    </row>
    <row r="620" spans="1:28" s="4" customFormat="1" ht="51.95" customHeight="1">
      <c r="A620" s="5">
        <v>0</v>
      </c>
      <c r="B620" s="6" t="s">
        <v>4153</v>
      </c>
      <c r="C620" s="7">
        <v>1044</v>
      </c>
      <c r="D620" s="8" t="s">
        <v>4154</v>
      </c>
      <c r="E620" s="8" t="s">
        <v>4155</v>
      </c>
      <c r="F620" s="8" t="s">
        <v>4156</v>
      </c>
      <c r="G620" s="6" t="s">
        <v>38</v>
      </c>
      <c r="H620" s="6" t="s">
        <v>299</v>
      </c>
      <c r="I620" s="8" t="s">
        <v>69</v>
      </c>
      <c r="J620" s="9">
        <v>1</v>
      </c>
      <c r="K620" s="9">
        <v>208</v>
      </c>
      <c r="L620" s="9">
        <v>2025</v>
      </c>
      <c r="M620" s="8" t="s">
        <v>4157</v>
      </c>
      <c r="N620" s="8" t="s">
        <v>125</v>
      </c>
      <c r="O620" s="8" t="s">
        <v>4158</v>
      </c>
      <c r="P620" s="6" t="s">
        <v>44</v>
      </c>
      <c r="Q620" s="8" t="s">
        <v>45</v>
      </c>
      <c r="R620" s="10" t="s">
        <v>3460</v>
      </c>
      <c r="S620" s="11" t="s">
        <v>1112</v>
      </c>
      <c r="T620" s="6"/>
      <c r="U620" s="24" t="str">
        <f>HYPERLINK("https://media.infra-m.ru/2160/2160898/cover/2160898.jpg", "Обложка")</f>
        <v>Обложка</v>
      </c>
      <c r="V620" s="24" t="str">
        <f>HYPERLINK("https://znanium.ru/catalog/product/1209775", "Ознакомиться")</f>
        <v>Ознакомиться</v>
      </c>
      <c r="W620" s="8" t="s">
        <v>2556</v>
      </c>
      <c r="X620" s="6"/>
      <c r="Y620" s="6"/>
      <c r="Z620" s="6"/>
      <c r="AA620" s="6" t="s">
        <v>237</v>
      </c>
      <c r="AB620" s="8"/>
    </row>
    <row r="621" spans="1:28" s="4" customFormat="1" ht="51.95" customHeight="1">
      <c r="A621" s="5">
        <v>0</v>
      </c>
      <c r="B621" s="6" t="s">
        <v>4159</v>
      </c>
      <c r="C621" s="7">
        <v>1750</v>
      </c>
      <c r="D621" s="8" t="s">
        <v>4160</v>
      </c>
      <c r="E621" s="8" t="s">
        <v>4161</v>
      </c>
      <c r="F621" s="8" t="s">
        <v>4162</v>
      </c>
      <c r="G621" s="6" t="s">
        <v>67</v>
      </c>
      <c r="H621" s="6" t="s">
        <v>54</v>
      </c>
      <c r="I621" s="8" t="s">
        <v>40</v>
      </c>
      <c r="J621" s="9">
        <v>1</v>
      </c>
      <c r="K621" s="9">
        <v>336</v>
      </c>
      <c r="L621" s="9">
        <v>2026</v>
      </c>
      <c r="M621" s="8" t="s">
        <v>4163</v>
      </c>
      <c r="N621" s="8" t="s">
        <v>42</v>
      </c>
      <c r="O621" s="8" t="s">
        <v>187</v>
      </c>
      <c r="P621" s="6" t="s">
        <v>58</v>
      </c>
      <c r="Q621" s="8" t="s">
        <v>45</v>
      </c>
      <c r="R621" s="10" t="s">
        <v>4164</v>
      </c>
      <c r="S621" s="11" t="s">
        <v>4165</v>
      </c>
      <c r="T621" s="6"/>
      <c r="U621" s="24" t="str">
        <f>HYPERLINK("https://media.infra-m.ru/2221/2221109/cover/2221109.jpg", "Обложка")</f>
        <v>Обложка</v>
      </c>
      <c r="V621" s="24" t="str">
        <f>HYPERLINK("https://znanium.ru/catalog/product/2221109", "Ознакомиться")</f>
        <v>Ознакомиться</v>
      </c>
      <c r="W621" s="8" t="s">
        <v>4166</v>
      </c>
      <c r="X621" s="6"/>
      <c r="Y621" s="6"/>
      <c r="Z621" s="6"/>
      <c r="AA621" s="6" t="s">
        <v>270</v>
      </c>
      <c r="AB621" s="8"/>
    </row>
    <row r="622" spans="1:28" s="4" customFormat="1" ht="51.95" customHeight="1">
      <c r="A622" s="5">
        <v>0</v>
      </c>
      <c r="B622" s="6" t="s">
        <v>4167</v>
      </c>
      <c r="C622" s="7">
        <v>1684</v>
      </c>
      <c r="D622" s="8" t="s">
        <v>4168</v>
      </c>
      <c r="E622" s="8" t="s">
        <v>4169</v>
      </c>
      <c r="F622" s="8" t="s">
        <v>265</v>
      </c>
      <c r="G622" s="6" t="s">
        <v>90</v>
      </c>
      <c r="H622" s="6" t="s">
        <v>39</v>
      </c>
      <c r="I622" s="8" t="s">
        <v>40</v>
      </c>
      <c r="J622" s="9">
        <v>1</v>
      </c>
      <c r="K622" s="9">
        <v>336</v>
      </c>
      <c r="L622" s="9">
        <v>2025</v>
      </c>
      <c r="M622" s="8" t="s">
        <v>4170</v>
      </c>
      <c r="N622" s="8" t="s">
        <v>535</v>
      </c>
      <c r="O622" s="8" t="s">
        <v>1048</v>
      </c>
      <c r="P622" s="6" t="s">
        <v>58</v>
      </c>
      <c r="Q622" s="8" t="s">
        <v>45</v>
      </c>
      <c r="R622" s="10" t="s">
        <v>4171</v>
      </c>
      <c r="S622" s="11" t="s">
        <v>3286</v>
      </c>
      <c r="T622" s="6"/>
      <c r="U622" s="24" t="str">
        <f>HYPERLINK("https://media.infra-m.ru/2185/2185906/cover/2185906.jpg", "Обложка")</f>
        <v>Обложка</v>
      </c>
      <c r="V622" s="24" t="str">
        <f>HYPERLINK("https://znanium.ru/catalog/product/2039969", "Ознакомиться")</f>
        <v>Ознакомиться</v>
      </c>
      <c r="W622" s="8" t="s">
        <v>269</v>
      </c>
      <c r="X622" s="6"/>
      <c r="Y622" s="6"/>
      <c r="Z622" s="6"/>
      <c r="AA622" s="6" t="s">
        <v>2008</v>
      </c>
      <c r="AB622" s="8"/>
    </row>
    <row r="623" spans="1:28" s="4" customFormat="1" ht="51.95" customHeight="1">
      <c r="A623" s="5">
        <v>0</v>
      </c>
      <c r="B623" s="6" t="s">
        <v>4172</v>
      </c>
      <c r="C623" s="13">
        <v>730</v>
      </c>
      <c r="D623" s="8" t="s">
        <v>4173</v>
      </c>
      <c r="E623" s="8" t="s">
        <v>4174</v>
      </c>
      <c r="F623" s="8" t="s">
        <v>4175</v>
      </c>
      <c r="G623" s="6" t="s">
        <v>67</v>
      </c>
      <c r="H623" s="6" t="s">
        <v>54</v>
      </c>
      <c r="I623" s="8" t="s">
        <v>40</v>
      </c>
      <c r="J623" s="9">
        <v>1</v>
      </c>
      <c r="K623" s="9">
        <v>64</v>
      </c>
      <c r="L623" s="9">
        <v>2026</v>
      </c>
      <c r="M623" s="8" t="s">
        <v>4176</v>
      </c>
      <c r="N623" s="8" t="s">
        <v>1306</v>
      </c>
      <c r="O623" s="8" t="s">
        <v>1307</v>
      </c>
      <c r="P623" s="6" t="s">
        <v>1285</v>
      </c>
      <c r="Q623" s="8" t="s">
        <v>45</v>
      </c>
      <c r="R623" s="10" t="s">
        <v>4177</v>
      </c>
      <c r="S623" s="11"/>
      <c r="T623" s="6"/>
      <c r="U623" s="24" t="str">
        <f>HYPERLINK("https://media.infra-m.ru/2223/2223149/cover/2223149.jpg", "Обложка")</f>
        <v>Обложка</v>
      </c>
      <c r="V623" s="24" t="str">
        <f>HYPERLINK("https://znanium.ru/catalog/product/2223149", "Ознакомиться")</f>
        <v>Ознакомиться</v>
      </c>
      <c r="W623" s="8" t="s">
        <v>3140</v>
      </c>
      <c r="X623" s="6"/>
      <c r="Y623" s="6"/>
      <c r="Z623" s="6" t="s">
        <v>207</v>
      </c>
      <c r="AA623" s="6" t="s">
        <v>740</v>
      </c>
      <c r="AB623" s="8"/>
    </row>
    <row r="624" spans="1:28" s="4" customFormat="1" ht="51.95" customHeight="1">
      <c r="A624" s="5">
        <v>0</v>
      </c>
      <c r="B624" s="6" t="s">
        <v>4178</v>
      </c>
      <c r="C624" s="13">
        <v>920</v>
      </c>
      <c r="D624" s="8" t="s">
        <v>4179</v>
      </c>
      <c r="E624" s="8" t="s">
        <v>4180</v>
      </c>
      <c r="F624" s="8" t="s">
        <v>4181</v>
      </c>
      <c r="G624" s="6" t="s">
        <v>90</v>
      </c>
      <c r="H624" s="6" t="s">
        <v>54</v>
      </c>
      <c r="I624" s="8" t="s">
        <v>40</v>
      </c>
      <c r="J624" s="9">
        <v>1</v>
      </c>
      <c r="K624" s="9">
        <v>176</v>
      </c>
      <c r="L624" s="9">
        <v>2026</v>
      </c>
      <c r="M624" s="8" t="s">
        <v>4182</v>
      </c>
      <c r="N624" s="8" t="s">
        <v>1306</v>
      </c>
      <c r="O624" s="8" t="s">
        <v>1307</v>
      </c>
      <c r="P624" s="6" t="s">
        <v>1285</v>
      </c>
      <c r="Q624" s="8" t="s">
        <v>45</v>
      </c>
      <c r="R624" s="10" t="s">
        <v>4183</v>
      </c>
      <c r="S624" s="11" t="s">
        <v>4184</v>
      </c>
      <c r="T624" s="6"/>
      <c r="U624" s="24" t="str">
        <f>HYPERLINK("https://media.infra-m.ru/2210/2210347/cover/2210347.jpg", "Обложка")</f>
        <v>Обложка</v>
      </c>
      <c r="V624" s="24" t="str">
        <f>HYPERLINK("https://znanium.ru/catalog/product/2210347", "Ознакомиться")</f>
        <v>Ознакомиться</v>
      </c>
      <c r="W624" s="8" t="s">
        <v>3140</v>
      </c>
      <c r="X624" s="6"/>
      <c r="Y624" s="6"/>
      <c r="Z624" s="6" t="s">
        <v>1260</v>
      </c>
      <c r="AA624" s="6" t="s">
        <v>740</v>
      </c>
      <c r="AB624" s="8"/>
    </row>
    <row r="625" spans="1:28" s="4" customFormat="1" ht="51.95" customHeight="1">
      <c r="A625" s="5">
        <v>0</v>
      </c>
      <c r="B625" s="6" t="s">
        <v>4185</v>
      </c>
      <c r="C625" s="7">
        <v>2904</v>
      </c>
      <c r="D625" s="8" t="s">
        <v>4186</v>
      </c>
      <c r="E625" s="8" t="s">
        <v>4187</v>
      </c>
      <c r="F625" s="8" t="s">
        <v>4188</v>
      </c>
      <c r="G625" s="6" t="s">
        <v>90</v>
      </c>
      <c r="H625" s="6" t="s">
        <v>54</v>
      </c>
      <c r="I625" s="8" t="s">
        <v>40</v>
      </c>
      <c r="J625" s="9">
        <v>1</v>
      </c>
      <c r="K625" s="9">
        <v>560</v>
      </c>
      <c r="L625" s="9">
        <v>2025</v>
      </c>
      <c r="M625" s="8" t="s">
        <v>4189</v>
      </c>
      <c r="N625" s="8" t="s">
        <v>42</v>
      </c>
      <c r="O625" s="8" t="s">
        <v>553</v>
      </c>
      <c r="P625" s="6" t="s">
        <v>58</v>
      </c>
      <c r="Q625" s="8" t="s">
        <v>45</v>
      </c>
      <c r="R625" s="10" t="s">
        <v>4190</v>
      </c>
      <c r="S625" s="11" t="s">
        <v>4191</v>
      </c>
      <c r="T625" s="6"/>
      <c r="U625" s="24" t="str">
        <f>HYPERLINK("https://media.infra-m.ru/2179/2179492/cover/2179492.jpg", "Обложка")</f>
        <v>Обложка</v>
      </c>
      <c r="V625" s="12"/>
      <c r="W625" s="8" t="s">
        <v>1139</v>
      </c>
      <c r="X625" s="6"/>
      <c r="Y625" s="6"/>
      <c r="Z625" s="6" t="s">
        <v>929</v>
      </c>
      <c r="AA625" s="6" t="s">
        <v>223</v>
      </c>
      <c r="AB625" s="8"/>
    </row>
    <row r="626" spans="1:28" s="4" customFormat="1" ht="51.95" customHeight="1">
      <c r="A626" s="5">
        <v>0</v>
      </c>
      <c r="B626" s="6" t="s">
        <v>4192</v>
      </c>
      <c r="C626" s="7">
        <v>1520</v>
      </c>
      <c r="D626" s="8" t="s">
        <v>4193</v>
      </c>
      <c r="E626" s="8" t="s">
        <v>4194</v>
      </c>
      <c r="F626" s="8" t="s">
        <v>4195</v>
      </c>
      <c r="G626" s="6" t="s">
        <v>90</v>
      </c>
      <c r="H626" s="6" t="s">
        <v>54</v>
      </c>
      <c r="I626" s="8" t="s">
        <v>40</v>
      </c>
      <c r="J626" s="9">
        <v>1</v>
      </c>
      <c r="K626" s="9">
        <v>303</v>
      </c>
      <c r="L626" s="9">
        <v>2025</v>
      </c>
      <c r="M626" s="8" t="s">
        <v>4196</v>
      </c>
      <c r="N626" s="8" t="s">
        <v>125</v>
      </c>
      <c r="O626" s="8" t="s">
        <v>4197</v>
      </c>
      <c r="P626" s="6" t="s">
        <v>58</v>
      </c>
      <c r="Q626" s="8" t="s">
        <v>45</v>
      </c>
      <c r="R626" s="10" t="s">
        <v>4198</v>
      </c>
      <c r="S626" s="11" t="s">
        <v>1559</v>
      </c>
      <c r="T626" s="6"/>
      <c r="U626" s="24" t="str">
        <f>HYPERLINK("https://media.infra-m.ru/2157/2157818/cover/2157818.jpg", "Обложка")</f>
        <v>Обложка</v>
      </c>
      <c r="V626" s="24" t="str">
        <f>HYPERLINK("https://znanium.ru/catalog/product/2157818", "Ознакомиться")</f>
        <v>Ознакомиться</v>
      </c>
      <c r="W626" s="8" t="s">
        <v>4199</v>
      </c>
      <c r="X626" s="6"/>
      <c r="Y626" s="6"/>
      <c r="Z626" s="6"/>
      <c r="AA626" s="6" t="s">
        <v>766</v>
      </c>
      <c r="AB626" s="8"/>
    </row>
    <row r="627" spans="1:28" s="4" customFormat="1" ht="51.95" customHeight="1">
      <c r="A627" s="5">
        <v>0</v>
      </c>
      <c r="B627" s="6" t="s">
        <v>4200</v>
      </c>
      <c r="C627" s="13">
        <v>944</v>
      </c>
      <c r="D627" s="8" t="s">
        <v>4201</v>
      </c>
      <c r="E627" s="8" t="s">
        <v>4194</v>
      </c>
      <c r="F627" s="8" t="s">
        <v>4202</v>
      </c>
      <c r="G627" s="6" t="s">
        <v>38</v>
      </c>
      <c r="H627" s="6" t="s">
        <v>39</v>
      </c>
      <c r="I627" s="8" t="s">
        <v>40</v>
      </c>
      <c r="J627" s="9">
        <v>1</v>
      </c>
      <c r="K627" s="9">
        <v>320</v>
      </c>
      <c r="L627" s="9">
        <v>2018</v>
      </c>
      <c r="M627" s="8" t="s">
        <v>4203</v>
      </c>
      <c r="N627" s="8" t="s">
        <v>125</v>
      </c>
      <c r="O627" s="8" t="s">
        <v>4197</v>
      </c>
      <c r="P627" s="6" t="s">
        <v>58</v>
      </c>
      <c r="Q627" s="8" t="s">
        <v>45</v>
      </c>
      <c r="R627" s="10" t="s">
        <v>4198</v>
      </c>
      <c r="S627" s="11" t="s">
        <v>276</v>
      </c>
      <c r="T627" s="6"/>
      <c r="U627" s="24" t="str">
        <f>HYPERLINK("https://media.infra-m.ru/2081/2081960/cover/2081960.jpg", "Обложка")</f>
        <v>Обложка</v>
      </c>
      <c r="V627" s="24" t="str">
        <f>HYPERLINK("https://znanium.ru/catalog/product/1855980", "Ознакомиться")</f>
        <v>Ознакомиться</v>
      </c>
      <c r="W627" s="8" t="s">
        <v>180</v>
      </c>
      <c r="X627" s="6"/>
      <c r="Y627" s="6"/>
      <c r="Z627" s="6"/>
      <c r="AA627" s="6" t="s">
        <v>835</v>
      </c>
      <c r="AB627" s="8"/>
    </row>
    <row r="628" spans="1:28" s="4" customFormat="1" ht="51.95" customHeight="1">
      <c r="A628" s="5">
        <v>0</v>
      </c>
      <c r="B628" s="6" t="s">
        <v>4204</v>
      </c>
      <c r="C628" s="7">
        <v>2084</v>
      </c>
      <c r="D628" s="8" t="s">
        <v>4205</v>
      </c>
      <c r="E628" s="8" t="s">
        <v>4206</v>
      </c>
      <c r="F628" s="8" t="s">
        <v>4207</v>
      </c>
      <c r="G628" s="6" t="s">
        <v>90</v>
      </c>
      <c r="H628" s="6" t="s">
        <v>54</v>
      </c>
      <c r="I628" s="8" t="s">
        <v>40</v>
      </c>
      <c r="J628" s="9">
        <v>1</v>
      </c>
      <c r="K628" s="9">
        <v>400</v>
      </c>
      <c r="L628" s="9">
        <v>2026</v>
      </c>
      <c r="M628" s="8" t="s">
        <v>4208</v>
      </c>
      <c r="N628" s="8" t="s">
        <v>42</v>
      </c>
      <c r="O628" s="8" t="s">
        <v>169</v>
      </c>
      <c r="P628" s="6" t="s">
        <v>44</v>
      </c>
      <c r="Q628" s="8" t="s">
        <v>45</v>
      </c>
      <c r="R628" s="10" t="s">
        <v>4209</v>
      </c>
      <c r="S628" s="11" t="s">
        <v>4210</v>
      </c>
      <c r="T628" s="6"/>
      <c r="U628" s="24" t="str">
        <f>HYPERLINK("https://media.infra-m.ru/2222/2222954/cover/2222954.jpg", "Обложка")</f>
        <v>Обложка</v>
      </c>
      <c r="V628" s="24" t="str">
        <f>HYPERLINK("https://znanium.ru/catalog/product/2169730", "Ознакомиться")</f>
        <v>Ознакомиться</v>
      </c>
      <c r="W628" s="8" t="s">
        <v>180</v>
      </c>
      <c r="X628" s="6"/>
      <c r="Y628" s="6"/>
      <c r="Z628" s="6"/>
      <c r="AA628" s="6" t="s">
        <v>507</v>
      </c>
      <c r="AB628" s="8"/>
    </row>
    <row r="629" spans="1:28" s="4" customFormat="1" ht="51.95" customHeight="1">
      <c r="A629" s="5">
        <v>0</v>
      </c>
      <c r="B629" s="6" t="s">
        <v>4211</v>
      </c>
      <c r="C629" s="7">
        <v>1337</v>
      </c>
      <c r="D629" s="8" t="s">
        <v>4212</v>
      </c>
      <c r="E629" s="8" t="s">
        <v>4213</v>
      </c>
      <c r="F629" s="8" t="s">
        <v>4214</v>
      </c>
      <c r="G629" s="6" t="s">
        <v>67</v>
      </c>
      <c r="H629" s="6" t="s">
        <v>39</v>
      </c>
      <c r="I629" s="8" t="s">
        <v>40</v>
      </c>
      <c r="J629" s="9">
        <v>1</v>
      </c>
      <c r="K629" s="9">
        <v>200</v>
      </c>
      <c r="L629" s="9">
        <v>2026</v>
      </c>
      <c r="M629" s="8" t="s">
        <v>4215</v>
      </c>
      <c r="N629" s="8" t="s">
        <v>42</v>
      </c>
      <c r="O629" s="8" t="s">
        <v>43</v>
      </c>
      <c r="P629" s="6" t="s">
        <v>44</v>
      </c>
      <c r="Q629" s="8" t="s">
        <v>45</v>
      </c>
      <c r="R629" s="10" t="s">
        <v>4216</v>
      </c>
      <c r="S629" s="11" t="s">
        <v>4217</v>
      </c>
      <c r="T629" s="6"/>
      <c r="U629" s="24" t="str">
        <f>HYPERLINK("https://media.infra-m.ru/2223/2223172/cover/2223172.jpg", "Обложка")</f>
        <v>Обложка</v>
      </c>
      <c r="V629" s="24" t="str">
        <f>HYPERLINK("https://znanium.ru/catalog/product/1895650", "Ознакомиться")</f>
        <v>Ознакомиться</v>
      </c>
      <c r="W629" s="8" t="s">
        <v>2007</v>
      </c>
      <c r="X629" s="6"/>
      <c r="Y629" s="6"/>
      <c r="Z629" s="6" t="s">
        <v>48</v>
      </c>
      <c r="AA629" s="6" t="s">
        <v>740</v>
      </c>
      <c r="AB629" s="8"/>
    </row>
    <row r="630" spans="1:28" s="4" customFormat="1" ht="51.95" customHeight="1">
      <c r="A630" s="5">
        <v>0</v>
      </c>
      <c r="B630" s="6" t="s">
        <v>4218</v>
      </c>
      <c r="C630" s="7">
        <v>1550</v>
      </c>
      <c r="D630" s="8" t="s">
        <v>4219</v>
      </c>
      <c r="E630" s="8" t="s">
        <v>4220</v>
      </c>
      <c r="F630" s="8" t="s">
        <v>4221</v>
      </c>
      <c r="G630" s="6" t="s">
        <v>90</v>
      </c>
      <c r="H630" s="6" t="s">
        <v>54</v>
      </c>
      <c r="I630" s="8" t="s">
        <v>40</v>
      </c>
      <c r="J630" s="9">
        <v>1</v>
      </c>
      <c r="K630" s="9">
        <v>326</v>
      </c>
      <c r="L630" s="9">
        <v>2024</v>
      </c>
      <c r="M630" s="8" t="s">
        <v>4222</v>
      </c>
      <c r="N630" s="8" t="s">
        <v>125</v>
      </c>
      <c r="O630" s="8" t="s">
        <v>1380</v>
      </c>
      <c r="P630" s="6" t="s">
        <v>58</v>
      </c>
      <c r="Q630" s="8" t="s">
        <v>45</v>
      </c>
      <c r="R630" s="10" t="s">
        <v>2884</v>
      </c>
      <c r="S630" s="11" t="s">
        <v>4223</v>
      </c>
      <c r="T630" s="6"/>
      <c r="U630" s="24" t="str">
        <f>HYPERLINK("https://media.infra-m.ru/2085/2085116/cover/2085116.jpg", "Обложка")</f>
        <v>Обложка</v>
      </c>
      <c r="V630" s="24" t="str">
        <f>HYPERLINK("https://znanium.ru/catalog/product/2085116", "Ознакомиться")</f>
        <v>Ознакомиться</v>
      </c>
      <c r="W630" s="8" t="s">
        <v>1958</v>
      </c>
      <c r="X630" s="6"/>
      <c r="Y630" s="6"/>
      <c r="Z630" s="6"/>
      <c r="AA630" s="6" t="s">
        <v>102</v>
      </c>
      <c r="AB630" s="8" t="s">
        <v>2908</v>
      </c>
    </row>
    <row r="631" spans="1:28" s="4" customFormat="1" ht="42" customHeight="1">
      <c r="A631" s="5">
        <v>0</v>
      </c>
      <c r="B631" s="6" t="s">
        <v>4224</v>
      </c>
      <c r="C631" s="7">
        <v>1300</v>
      </c>
      <c r="D631" s="8" t="s">
        <v>4225</v>
      </c>
      <c r="E631" s="8" t="s">
        <v>4220</v>
      </c>
      <c r="F631" s="8" t="s">
        <v>4226</v>
      </c>
      <c r="G631" s="6" t="s">
        <v>90</v>
      </c>
      <c r="H631" s="6" t="s">
        <v>54</v>
      </c>
      <c r="I631" s="8" t="s">
        <v>40</v>
      </c>
      <c r="J631" s="9">
        <v>1</v>
      </c>
      <c r="K631" s="9">
        <v>238</v>
      </c>
      <c r="L631" s="9">
        <v>2026</v>
      </c>
      <c r="M631" s="8" t="s">
        <v>4227</v>
      </c>
      <c r="N631" s="8" t="s">
        <v>125</v>
      </c>
      <c r="O631" s="8" t="s">
        <v>1380</v>
      </c>
      <c r="P631" s="6" t="s">
        <v>58</v>
      </c>
      <c r="Q631" s="8" t="s">
        <v>45</v>
      </c>
      <c r="R631" s="10" t="s">
        <v>2884</v>
      </c>
      <c r="S631" s="11"/>
      <c r="T631" s="6"/>
      <c r="U631" s="24" t="str">
        <f>HYPERLINK("https://media.infra-m.ru/2214/2214591/cover/2214591.jpg", "Обложка")</f>
        <v>Обложка</v>
      </c>
      <c r="V631" s="24" t="str">
        <f>HYPERLINK("https://znanium.ru/catalog/product/2214591", "Ознакомиться")</f>
        <v>Ознакомиться</v>
      </c>
      <c r="W631" s="8" t="s">
        <v>4228</v>
      </c>
      <c r="X631" s="6"/>
      <c r="Y631" s="6"/>
      <c r="Z631" s="6"/>
      <c r="AA631" s="6" t="s">
        <v>84</v>
      </c>
      <c r="AB631" s="8" t="s">
        <v>710</v>
      </c>
    </row>
    <row r="632" spans="1:28" s="4" customFormat="1" ht="51.95" customHeight="1">
      <c r="A632" s="5">
        <v>0</v>
      </c>
      <c r="B632" s="6" t="s">
        <v>4229</v>
      </c>
      <c r="C632" s="7">
        <v>2360</v>
      </c>
      <c r="D632" s="8" t="s">
        <v>4230</v>
      </c>
      <c r="E632" s="8" t="s">
        <v>4231</v>
      </c>
      <c r="F632" s="8" t="s">
        <v>4232</v>
      </c>
      <c r="G632" s="6" t="s">
        <v>38</v>
      </c>
      <c r="H632" s="6" t="s">
        <v>54</v>
      </c>
      <c r="I632" s="8" t="s">
        <v>40</v>
      </c>
      <c r="J632" s="9">
        <v>1</v>
      </c>
      <c r="K632" s="9">
        <v>448</v>
      </c>
      <c r="L632" s="9">
        <v>2026</v>
      </c>
      <c r="M632" s="8" t="s">
        <v>4233</v>
      </c>
      <c r="N632" s="8" t="s">
        <v>1306</v>
      </c>
      <c r="O632" s="8" t="s">
        <v>1307</v>
      </c>
      <c r="P632" s="6" t="s">
        <v>58</v>
      </c>
      <c r="Q632" s="8" t="s">
        <v>45</v>
      </c>
      <c r="R632" s="10" t="s">
        <v>4234</v>
      </c>
      <c r="S632" s="11" t="s">
        <v>4235</v>
      </c>
      <c r="T632" s="6" t="s">
        <v>118</v>
      </c>
      <c r="U632" s="24" t="str">
        <f>HYPERLINK("https://media.infra-m.ru/2214/2214863/cover/2214863.jpg", "Обложка")</f>
        <v>Обложка</v>
      </c>
      <c r="V632" s="24" t="str">
        <f>HYPERLINK("https://znanium.ru/catalog/product/2214863", "Ознакомиться")</f>
        <v>Ознакомиться</v>
      </c>
      <c r="W632" s="8" t="s">
        <v>956</v>
      </c>
      <c r="X632" s="6"/>
      <c r="Y632" s="6"/>
      <c r="Z632" s="6" t="s">
        <v>48</v>
      </c>
      <c r="AA632" s="6" t="s">
        <v>129</v>
      </c>
      <c r="AB632" s="8" t="s">
        <v>860</v>
      </c>
    </row>
    <row r="633" spans="1:28" s="4" customFormat="1" ht="44.1" customHeight="1">
      <c r="A633" s="5">
        <v>0</v>
      </c>
      <c r="B633" s="6" t="s">
        <v>4236</v>
      </c>
      <c r="C633" s="7">
        <v>1680</v>
      </c>
      <c r="D633" s="8" t="s">
        <v>4237</v>
      </c>
      <c r="E633" s="8" t="s">
        <v>4238</v>
      </c>
      <c r="F633" s="8" t="s">
        <v>4239</v>
      </c>
      <c r="G633" s="6" t="s">
        <v>90</v>
      </c>
      <c r="H633" s="6" t="s">
        <v>54</v>
      </c>
      <c r="I633" s="8" t="s">
        <v>40</v>
      </c>
      <c r="J633" s="9">
        <v>1</v>
      </c>
      <c r="K633" s="9">
        <v>336</v>
      </c>
      <c r="L633" s="9">
        <v>2024</v>
      </c>
      <c r="M633" s="8" t="s">
        <v>4240</v>
      </c>
      <c r="N633" s="8" t="s">
        <v>42</v>
      </c>
      <c r="O633" s="8" t="s">
        <v>553</v>
      </c>
      <c r="P633" s="6" t="s">
        <v>44</v>
      </c>
      <c r="Q633" s="8" t="s">
        <v>45</v>
      </c>
      <c r="R633" s="10" t="s">
        <v>4241</v>
      </c>
      <c r="S633" s="11"/>
      <c r="T633" s="6"/>
      <c r="U633" s="24" t="str">
        <f>HYPERLINK("https://media.infra-m.ru/2136/2136739/cover/2136739.jpg", "Обложка")</f>
        <v>Обложка</v>
      </c>
      <c r="V633" s="24" t="str">
        <f>HYPERLINK("https://znanium.ru/catalog/product/2136739", "Ознакомиться")</f>
        <v>Ознакомиться</v>
      </c>
      <c r="W633" s="8" t="s">
        <v>4242</v>
      </c>
      <c r="X633" s="6"/>
      <c r="Y633" s="6"/>
      <c r="Z633" s="6"/>
      <c r="AA633" s="6" t="s">
        <v>354</v>
      </c>
      <c r="AB633" s="8" t="s">
        <v>648</v>
      </c>
    </row>
    <row r="634" spans="1:28" s="4" customFormat="1" ht="51.95" customHeight="1">
      <c r="A634" s="5">
        <v>0</v>
      </c>
      <c r="B634" s="6" t="s">
        <v>4243</v>
      </c>
      <c r="C634" s="7">
        <v>2204</v>
      </c>
      <c r="D634" s="8" t="s">
        <v>4244</v>
      </c>
      <c r="E634" s="8" t="s">
        <v>4245</v>
      </c>
      <c r="F634" s="8" t="s">
        <v>4246</v>
      </c>
      <c r="G634" s="6" t="s">
        <v>90</v>
      </c>
      <c r="H634" s="6" t="s">
        <v>54</v>
      </c>
      <c r="I634" s="8" t="s">
        <v>40</v>
      </c>
      <c r="J634" s="9">
        <v>1</v>
      </c>
      <c r="K634" s="9">
        <v>400</v>
      </c>
      <c r="L634" s="9">
        <v>2026</v>
      </c>
      <c r="M634" s="8" t="s">
        <v>4247</v>
      </c>
      <c r="N634" s="8" t="s">
        <v>42</v>
      </c>
      <c r="O634" s="8" t="s">
        <v>553</v>
      </c>
      <c r="P634" s="6" t="s">
        <v>44</v>
      </c>
      <c r="Q634" s="8" t="s">
        <v>45</v>
      </c>
      <c r="R634" s="10" t="s">
        <v>4248</v>
      </c>
      <c r="S634" s="11"/>
      <c r="T634" s="6"/>
      <c r="U634" s="24" t="str">
        <f>HYPERLINK("https://media.infra-m.ru/2226/2226472/cover/2226472.jpg", "Обложка")</f>
        <v>Обложка</v>
      </c>
      <c r="V634" s="24" t="str">
        <f>HYPERLINK("https://znanium.ru/catalog/product/2179687", "Ознакомиться")</f>
        <v>Ознакомиться</v>
      </c>
      <c r="W634" s="8" t="s">
        <v>4249</v>
      </c>
      <c r="X634" s="6"/>
      <c r="Y634" s="6"/>
      <c r="Z634" s="6"/>
      <c r="AA634" s="6" t="s">
        <v>696</v>
      </c>
      <c r="AB634" s="8"/>
    </row>
    <row r="635" spans="1:28" s="4" customFormat="1" ht="51.95" customHeight="1">
      <c r="A635" s="5">
        <v>0</v>
      </c>
      <c r="B635" s="6" t="s">
        <v>4250</v>
      </c>
      <c r="C635" s="7">
        <v>1804</v>
      </c>
      <c r="D635" s="8" t="s">
        <v>4251</v>
      </c>
      <c r="E635" s="8" t="s">
        <v>4252</v>
      </c>
      <c r="F635" s="8" t="s">
        <v>4253</v>
      </c>
      <c r="G635" s="6" t="s">
        <v>38</v>
      </c>
      <c r="H635" s="6" t="s">
        <v>68</v>
      </c>
      <c r="I635" s="8" t="s">
        <v>69</v>
      </c>
      <c r="J635" s="9">
        <v>1</v>
      </c>
      <c r="K635" s="9">
        <v>346</v>
      </c>
      <c r="L635" s="9">
        <v>2025</v>
      </c>
      <c r="M635" s="8" t="s">
        <v>4254</v>
      </c>
      <c r="N635" s="8" t="s">
        <v>125</v>
      </c>
      <c r="O635" s="8" t="s">
        <v>352</v>
      </c>
      <c r="P635" s="6" t="s">
        <v>58</v>
      </c>
      <c r="Q635" s="8" t="s">
        <v>45</v>
      </c>
      <c r="R635" s="10" t="s">
        <v>108</v>
      </c>
      <c r="S635" s="11" t="s">
        <v>4255</v>
      </c>
      <c r="T635" s="6"/>
      <c r="U635" s="24" t="str">
        <f>HYPERLINK("https://media.infra-m.ru/2202/2202108/cover/2202108.jpg", "Обложка")</f>
        <v>Обложка</v>
      </c>
      <c r="V635" s="24" t="str">
        <f>HYPERLINK("https://znanium.ru/catalog/product/2186164", "Ознакомиться")</f>
        <v>Ознакомиться</v>
      </c>
      <c r="W635" s="8" t="s">
        <v>4256</v>
      </c>
      <c r="X635" s="6"/>
      <c r="Y635" s="6"/>
      <c r="Z635" s="6" t="s">
        <v>207</v>
      </c>
      <c r="AA635" s="6" t="s">
        <v>49</v>
      </c>
      <c r="AB635" s="8"/>
    </row>
    <row r="636" spans="1:28" s="4" customFormat="1" ht="51.95" customHeight="1">
      <c r="A636" s="5">
        <v>0</v>
      </c>
      <c r="B636" s="6" t="s">
        <v>4257</v>
      </c>
      <c r="C636" s="7">
        <v>1240</v>
      </c>
      <c r="D636" s="8" t="s">
        <v>4258</v>
      </c>
      <c r="E636" s="8" t="s">
        <v>4259</v>
      </c>
      <c r="F636" s="8" t="s">
        <v>4253</v>
      </c>
      <c r="G636" s="6" t="s">
        <v>38</v>
      </c>
      <c r="H636" s="6" t="s">
        <v>68</v>
      </c>
      <c r="I636" s="8" t="s">
        <v>69</v>
      </c>
      <c r="J636" s="9">
        <v>1</v>
      </c>
      <c r="K636" s="9">
        <v>326</v>
      </c>
      <c r="L636" s="9">
        <v>2022</v>
      </c>
      <c r="M636" s="8" t="s">
        <v>4260</v>
      </c>
      <c r="N636" s="8" t="s">
        <v>125</v>
      </c>
      <c r="O636" s="8" t="s">
        <v>352</v>
      </c>
      <c r="P636" s="6" t="s">
        <v>58</v>
      </c>
      <c r="Q636" s="8" t="s">
        <v>45</v>
      </c>
      <c r="R636" s="10" t="s">
        <v>108</v>
      </c>
      <c r="S636" s="11" t="s">
        <v>4255</v>
      </c>
      <c r="T636" s="6" t="s">
        <v>118</v>
      </c>
      <c r="U636" s="24" t="str">
        <f>HYPERLINK("https://media.infra-m.ru/1844/1844547/cover/1844547.jpg", "Обложка")</f>
        <v>Обложка</v>
      </c>
      <c r="V636" s="24" t="str">
        <f>HYPERLINK("https://znanium.ru/catalog/product/2186164", "Ознакомиться")</f>
        <v>Ознакомиться</v>
      </c>
      <c r="W636" s="8" t="s">
        <v>4256</v>
      </c>
      <c r="X636" s="6"/>
      <c r="Y636" s="6"/>
      <c r="Z636" s="6" t="s">
        <v>207</v>
      </c>
      <c r="AA636" s="6" t="s">
        <v>500</v>
      </c>
      <c r="AB636" s="8"/>
    </row>
    <row r="637" spans="1:28" s="4" customFormat="1" ht="51.95" customHeight="1">
      <c r="A637" s="5">
        <v>0</v>
      </c>
      <c r="B637" s="6" t="s">
        <v>4261</v>
      </c>
      <c r="C637" s="7">
        <v>1444</v>
      </c>
      <c r="D637" s="8" t="s">
        <v>4262</v>
      </c>
      <c r="E637" s="8" t="s">
        <v>4263</v>
      </c>
      <c r="F637" s="8" t="s">
        <v>4264</v>
      </c>
      <c r="G637" s="6" t="s">
        <v>38</v>
      </c>
      <c r="H637" s="6" t="s">
        <v>299</v>
      </c>
      <c r="I637" s="8" t="s">
        <v>69</v>
      </c>
      <c r="J637" s="9">
        <v>1</v>
      </c>
      <c r="K637" s="9">
        <v>288</v>
      </c>
      <c r="L637" s="9">
        <v>2025</v>
      </c>
      <c r="M637" s="8" t="s">
        <v>4265</v>
      </c>
      <c r="N637" s="8" t="s">
        <v>125</v>
      </c>
      <c r="O637" s="8" t="s">
        <v>432</v>
      </c>
      <c r="P637" s="6" t="s">
        <v>44</v>
      </c>
      <c r="Q637" s="8" t="s">
        <v>45</v>
      </c>
      <c r="R637" s="10" t="s">
        <v>585</v>
      </c>
      <c r="S637" s="11" t="s">
        <v>4266</v>
      </c>
      <c r="T637" s="6"/>
      <c r="U637" s="24" t="str">
        <f>HYPERLINK("https://media.infra-m.ru/2188/2188218/cover/2188218.jpg", "Обложка")</f>
        <v>Обложка</v>
      </c>
      <c r="V637" s="24" t="str">
        <f>HYPERLINK("https://znanium.ru/catalog/product/1836608", "Ознакомиться")</f>
        <v>Ознакомиться</v>
      </c>
      <c r="W637" s="8" t="s">
        <v>82</v>
      </c>
      <c r="X637" s="6"/>
      <c r="Y637" s="6"/>
      <c r="Z637" s="6"/>
      <c r="AA637" s="6" t="s">
        <v>2008</v>
      </c>
      <c r="AB637" s="8"/>
    </row>
    <row r="638" spans="1:28" s="4" customFormat="1" ht="51.95" customHeight="1">
      <c r="A638" s="5">
        <v>0</v>
      </c>
      <c r="B638" s="6" t="s">
        <v>4267</v>
      </c>
      <c r="C638" s="7">
        <v>2900</v>
      </c>
      <c r="D638" s="8" t="s">
        <v>4268</v>
      </c>
      <c r="E638" s="8" t="s">
        <v>4269</v>
      </c>
      <c r="F638" s="8" t="s">
        <v>2278</v>
      </c>
      <c r="G638" s="6" t="s">
        <v>38</v>
      </c>
      <c r="H638" s="6" t="s">
        <v>39</v>
      </c>
      <c r="I638" s="8" t="s">
        <v>40</v>
      </c>
      <c r="J638" s="9">
        <v>1</v>
      </c>
      <c r="K638" s="9">
        <v>560</v>
      </c>
      <c r="L638" s="9">
        <v>2025</v>
      </c>
      <c r="M638" s="8" t="s">
        <v>4270</v>
      </c>
      <c r="N638" s="8" t="s">
        <v>42</v>
      </c>
      <c r="O638" s="8" t="s">
        <v>43</v>
      </c>
      <c r="P638" s="6" t="s">
        <v>44</v>
      </c>
      <c r="Q638" s="8" t="s">
        <v>45</v>
      </c>
      <c r="R638" s="10" t="s">
        <v>4271</v>
      </c>
      <c r="S638" s="11" t="s">
        <v>420</v>
      </c>
      <c r="T638" s="6"/>
      <c r="U638" s="24" t="str">
        <f>HYPERLINK("https://media.infra-m.ru/2198/2198489/cover/2198489.jpg", "Обложка")</f>
        <v>Обложка</v>
      </c>
      <c r="V638" s="24" t="str">
        <f>HYPERLINK("https://znanium.ru/catalog/product/1189335", "Ознакомиться")</f>
        <v>Ознакомиться</v>
      </c>
      <c r="W638" s="8" t="s">
        <v>94</v>
      </c>
      <c r="X638" s="6"/>
      <c r="Y638" s="6" t="s">
        <v>30</v>
      </c>
      <c r="Z638" s="6"/>
      <c r="AA638" s="6" t="s">
        <v>819</v>
      </c>
      <c r="AB638" s="8"/>
    </row>
    <row r="639" spans="1:28" s="4" customFormat="1" ht="51.95" customHeight="1">
      <c r="A639" s="5">
        <v>0</v>
      </c>
      <c r="B639" s="6" t="s">
        <v>4272</v>
      </c>
      <c r="C639" s="7">
        <v>1584</v>
      </c>
      <c r="D639" s="8" t="s">
        <v>4273</v>
      </c>
      <c r="E639" s="8" t="s">
        <v>4274</v>
      </c>
      <c r="F639" s="8" t="s">
        <v>4275</v>
      </c>
      <c r="G639" s="6" t="s">
        <v>90</v>
      </c>
      <c r="H639" s="6" t="s">
        <v>824</v>
      </c>
      <c r="I639" s="8"/>
      <c r="J639" s="9">
        <v>1</v>
      </c>
      <c r="K639" s="9">
        <v>304</v>
      </c>
      <c r="L639" s="9">
        <v>2026</v>
      </c>
      <c r="M639" s="8" t="s">
        <v>4276</v>
      </c>
      <c r="N639" s="8" t="s">
        <v>42</v>
      </c>
      <c r="O639" s="8" t="s">
        <v>43</v>
      </c>
      <c r="P639" s="6" t="s">
        <v>58</v>
      </c>
      <c r="Q639" s="8" t="s">
        <v>45</v>
      </c>
      <c r="R639" s="10" t="s">
        <v>4277</v>
      </c>
      <c r="S639" s="11"/>
      <c r="T639" s="6"/>
      <c r="U639" s="24" t="str">
        <f>HYPERLINK("https://media.infra-m.ru/2213/2213207/cover/2213207.jpg", "Обложка")</f>
        <v>Обложка</v>
      </c>
      <c r="V639" s="24" t="str">
        <f>HYPERLINK("https://znanium.ru/catalog/product/2184032", "Ознакомиться")</f>
        <v>Ознакомиться</v>
      </c>
      <c r="W639" s="8" t="s">
        <v>4278</v>
      </c>
      <c r="X639" s="6"/>
      <c r="Y639" s="6" t="s">
        <v>30</v>
      </c>
      <c r="Z639" s="6"/>
      <c r="AA639" s="6" t="s">
        <v>129</v>
      </c>
      <c r="AB639" s="8"/>
    </row>
    <row r="640" spans="1:28" s="4" customFormat="1" ht="51.95" customHeight="1">
      <c r="A640" s="5">
        <v>0</v>
      </c>
      <c r="B640" s="6" t="s">
        <v>4279</v>
      </c>
      <c r="C640" s="13">
        <v>800</v>
      </c>
      <c r="D640" s="8" t="s">
        <v>4280</v>
      </c>
      <c r="E640" s="8" t="s">
        <v>4281</v>
      </c>
      <c r="F640" s="8" t="s">
        <v>4282</v>
      </c>
      <c r="G640" s="6" t="s">
        <v>90</v>
      </c>
      <c r="H640" s="6" t="s">
        <v>54</v>
      </c>
      <c r="I640" s="8" t="s">
        <v>40</v>
      </c>
      <c r="J640" s="9">
        <v>1</v>
      </c>
      <c r="K640" s="9">
        <v>160</v>
      </c>
      <c r="L640" s="9">
        <v>2025</v>
      </c>
      <c r="M640" s="8" t="s">
        <v>4283</v>
      </c>
      <c r="N640" s="8" t="s">
        <v>42</v>
      </c>
      <c r="O640" s="8" t="s">
        <v>43</v>
      </c>
      <c r="P640" s="6" t="s">
        <v>44</v>
      </c>
      <c r="Q640" s="8" t="s">
        <v>45</v>
      </c>
      <c r="R640" s="10" t="s">
        <v>4284</v>
      </c>
      <c r="S640" s="11" t="s">
        <v>1323</v>
      </c>
      <c r="T640" s="6" t="s">
        <v>118</v>
      </c>
      <c r="U640" s="24" t="str">
        <f>HYPERLINK("https://media.infra-m.ru/2178/2178800/cover/2178800.jpg", "Обложка")</f>
        <v>Обложка</v>
      </c>
      <c r="V640" s="24" t="str">
        <f>HYPERLINK("https://znanium.ru/catalog/product/2178800", "Ознакомиться")</f>
        <v>Ознакомиться</v>
      </c>
      <c r="W640" s="8" t="s">
        <v>818</v>
      </c>
      <c r="X640" s="6"/>
      <c r="Y640" s="6" t="s">
        <v>30</v>
      </c>
      <c r="Z640" s="6" t="s">
        <v>48</v>
      </c>
      <c r="AA640" s="6" t="s">
        <v>129</v>
      </c>
      <c r="AB640" s="8"/>
    </row>
    <row r="641" spans="1:28" s="4" customFormat="1" ht="51.95" customHeight="1">
      <c r="A641" s="5">
        <v>0</v>
      </c>
      <c r="B641" s="6" t="s">
        <v>4285</v>
      </c>
      <c r="C641" s="13">
        <v>984</v>
      </c>
      <c r="D641" s="8" t="s">
        <v>4286</v>
      </c>
      <c r="E641" s="8" t="s">
        <v>4287</v>
      </c>
      <c r="F641" s="8" t="s">
        <v>4288</v>
      </c>
      <c r="G641" s="6" t="s">
        <v>90</v>
      </c>
      <c r="H641" s="6" t="s">
        <v>54</v>
      </c>
      <c r="I641" s="8" t="s">
        <v>40</v>
      </c>
      <c r="J641" s="9">
        <v>1</v>
      </c>
      <c r="K641" s="9">
        <v>212</v>
      </c>
      <c r="L641" s="9">
        <v>2024</v>
      </c>
      <c r="M641" s="8" t="s">
        <v>4289</v>
      </c>
      <c r="N641" s="8" t="s">
        <v>125</v>
      </c>
      <c r="O641" s="8" t="s">
        <v>432</v>
      </c>
      <c r="P641" s="6" t="s">
        <v>58</v>
      </c>
      <c r="Q641" s="8" t="s">
        <v>45</v>
      </c>
      <c r="R641" s="10" t="s">
        <v>4290</v>
      </c>
      <c r="S641" s="11" t="s">
        <v>4291</v>
      </c>
      <c r="T641" s="6"/>
      <c r="U641" s="24" t="str">
        <f>HYPERLINK("https://media.infra-m.ru/2118/2118075/cover/2118075.jpg", "Обложка")</f>
        <v>Обложка</v>
      </c>
      <c r="V641" s="24" t="str">
        <f>HYPERLINK("https://znanium.ru/catalog/product/2104829", "Ознакомиться")</f>
        <v>Ознакомиться</v>
      </c>
      <c r="W641" s="8" t="s">
        <v>909</v>
      </c>
      <c r="X641" s="6"/>
      <c r="Y641" s="6"/>
      <c r="Z641" s="6"/>
      <c r="AA641" s="6" t="s">
        <v>740</v>
      </c>
      <c r="AB641" s="8"/>
    </row>
    <row r="642" spans="1:28" s="4" customFormat="1" ht="51.95" customHeight="1">
      <c r="A642" s="5">
        <v>0</v>
      </c>
      <c r="B642" s="6" t="s">
        <v>4292</v>
      </c>
      <c r="C642" s="13">
        <v>680</v>
      </c>
      <c r="D642" s="8" t="s">
        <v>4293</v>
      </c>
      <c r="E642" s="8" t="s">
        <v>4294</v>
      </c>
      <c r="F642" s="8" t="s">
        <v>4295</v>
      </c>
      <c r="G642" s="6" t="s">
        <v>67</v>
      </c>
      <c r="H642" s="6" t="s">
        <v>54</v>
      </c>
      <c r="I642" s="8" t="s">
        <v>40</v>
      </c>
      <c r="J642" s="9">
        <v>1</v>
      </c>
      <c r="K642" s="9">
        <v>136</v>
      </c>
      <c r="L642" s="9">
        <v>2025</v>
      </c>
      <c r="M642" s="8" t="s">
        <v>4296</v>
      </c>
      <c r="N642" s="8" t="s">
        <v>125</v>
      </c>
      <c r="O642" s="8" t="s">
        <v>1630</v>
      </c>
      <c r="P642" s="6" t="s">
        <v>44</v>
      </c>
      <c r="Q642" s="8" t="s">
        <v>45</v>
      </c>
      <c r="R642" s="10" t="s">
        <v>660</v>
      </c>
      <c r="S642" s="11" t="s">
        <v>661</v>
      </c>
      <c r="T642" s="6"/>
      <c r="U642" s="24" t="str">
        <f>HYPERLINK("https://media.infra-m.ru/2171/2171481/cover/2171481.jpg", "Обложка")</f>
        <v>Обложка</v>
      </c>
      <c r="V642" s="24" t="str">
        <f>HYPERLINK("https://znanium.ru/catalog/product/2171481", "Ознакомиться")</f>
        <v>Ознакомиться</v>
      </c>
      <c r="W642" s="8" t="s">
        <v>4297</v>
      </c>
      <c r="X642" s="6"/>
      <c r="Y642" s="6"/>
      <c r="Z642" s="6" t="s">
        <v>48</v>
      </c>
      <c r="AA642" s="6" t="s">
        <v>111</v>
      </c>
      <c r="AB642" s="8"/>
    </row>
    <row r="643" spans="1:28" s="4" customFormat="1" ht="51.95" customHeight="1">
      <c r="A643" s="5">
        <v>0</v>
      </c>
      <c r="B643" s="6" t="s">
        <v>4298</v>
      </c>
      <c r="C643" s="7">
        <v>2094</v>
      </c>
      <c r="D643" s="8" t="s">
        <v>4299</v>
      </c>
      <c r="E643" s="8" t="s">
        <v>4300</v>
      </c>
      <c r="F643" s="8" t="s">
        <v>4301</v>
      </c>
      <c r="G643" s="6" t="s">
        <v>38</v>
      </c>
      <c r="H643" s="6" t="s">
        <v>39</v>
      </c>
      <c r="I643" s="8" t="s">
        <v>40</v>
      </c>
      <c r="J643" s="9">
        <v>1</v>
      </c>
      <c r="K643" s="9">
        <v>432</v>
      </c>
      <c r="L643" s="9">
        <v>2025</v>
      </c>
      <c r="M643" s="8" t="s">
        <v>4302</v>
      </c>
      <c r="N643" s="8" t="s">
        <v>125</v>
      </c>
      <c r="O643" s="8" t="s">
        <v>432</v>
      </c>
      <c r="P643" s="6" t="s">
        <v>44</v>
      </c>
      <c r="Q643" s="8" t="s">
        <v>45</v>
      </c>
      <c r="R643" s="10" t="s">
        <v>660</v>
      </c>
      <c r="S643" s="11" t="s">
        <v>4303</v>
      </c>
      <c r="T643" s="6"/>
      <c r="U643" s="24" t="str">
        <f>HYPERLINK("https://media.infra-m.ru/2172/2172691/cover/2172691.jpg", "Обложка")</f>
        <v>Обложка</v>
      </c>
      <c r="V643" s="24" t="str">
        <f>HYPERLINK("https://znanium.ru/catalog/product/2095041", "Ознакомиться")</f>
        <v>Ознакомиться</v>
      </c>
      <c r="W643" s="8" t="s">
        <v>4304</v>
      </c>
      <c r="X643" s="6"/>
      <c r="Y643" s="6"/>
      <c r="Z643" s="6" t="s">
        <v>48</v>
      </c>
      <c r="AA643" s="6" t="s">
        <v>111</v>
      </c>
      <c r="AB643" s="8"/>
    </row>
    <row r="644" spans="1:28" s="4" customFormat="1" ht="51.95" customHeight="1">
      <c r="A644" s="5">
        <v>0</v>
      </c>
      <c r="B644" s="6" t="s">
        <v>4305</v>
      </c>
      <c r="C644" s="7">
        <v>2224.9</v>
      </c>
      <c r="D644" s="8" t="s">
        <v>4306</v>
      </c>
      <c r="E644" s="8" t="s">
        <v>4307</v>
      </c>
      <c r="F644" s="8" t="s">
        <v>4308</v>
      </c>
      <c r="G644" s="6" t="s">
        <v>90</v>
      </c>
      <c r="H644" s="6" t="s">
        <v>299</v>
      </c>
      <c r="I644" s="8" t="s">
        <v>1110</v>
      </c>
      <c r="J644" s="9">
        <v>1</v>
      </c>
      <c r="K644" s="9">
        <v>496</v>
      </c>
      <c r="L644" s="9">
        <v>2023</v>
      </c>
      <c r="M644" s="8" t="s">
        <v>4309</v>
      </c>
      <c r="N644" s="8" t="s">
        <v>125</v>
      </c>
      <c r="O644" s="8" t="s">
        <v>432</v>
      </c>
      <c r="P644" s="6" t="s">
        <v>58</v>
      </c>
      <c r="Q644" s="8" t="s">
        <v>45</v>
      </c>
      <c r="R644" s="10" t="s">
        <v>585</v>
      </c>
      <c r="S644" s="11" t="s">
        <v>4310</v>
      </c>
      <c r="T644" s="6"/>
      <c r="U644" s="24" t="str">
        <f>HYPERLINK("https://media.infra-m.ru/1981/1981669/cover/1981669.jpg", "Обложка")</f>
        <v>Обложка</v>
      </c>
      <c r="V644" s="24" t="str">
        <f>HYPERLINK("https://znanium.ru/catalog/product/960015", "Ознакомиться")</f>
        <v>Ознакомиться</v>
      </c>
      <c r="W644" s="8" t="s">
        <v>82</v>
      </c>
      <c r="X644" s="6"/>
      <c r="Y644" s="6"/>
      <c r="Z644" s="6"/>
      <c r="AA644" s="6" t="s">
        <v>573</v>
      </c>
      <c r="AB644" s="8"/>
    </row>
    <row r="645" spans="1:28" s="4" customFormat="1" ht="42" customHeight="1">
      <c r="A645" s="5">
        <v>0</v>
      </c>
      <c r="B645" s="6" t="s">
        <v>4311</v>
      </c>
      <c r="C645" s="7">
        <v>1544</v>
      </c>
      <c r="D645" s="8" t="s">
        <v>4312</v>
      </c>
      <c r="E645" s="8" t="s">
        <v>4313</v>
      </c>
      <c r="F645" s="8" t="s">
        <v>4314</v>
      </c>
      <c r="G645" s="6" t="s">
        <v>38</v>
      </c>
      <c r="H645" s="6" t="s">
        <v>39</v>
      </c>
      <c r="I645" s="8" t="s">
        <v>69</v>
      </c>
      <c r="J645" s="9">
        <v>1</v>
      </c>
      <c r="K645" s="9">
        <v>336</v>
      </c>
      <c r="L645" s="9">
        <v>2024</v>
      </c>
      <c r="M645" s="8" t="s">
        <v>4315</v>
      </c>
      <c r="N645" s="8" t="s">
        <v>1306</v>
      </c>
      <c r="O645" s="8" t="s">
        <v>1307</v>
      </c>
      <c r="P645" s="6" t="s">
        <v>44</v>
      </c>
      <c r="Q645" s="8" t="s">
        <v>45</v>
      </c>
      <c r="R645" s="10" t="s">
        <v>1337</v>
      </c>
      <c r="S645" s="11"/>
      <c r="T645" s="6"/>
      <c r="U645" s="24" t="str">
        <f>HYPERLINK("https://media.infra-m.ru/2121/2121222/cover/2121222.jpg", "Обложка")</f>
        <v>Обложка</v>
      </c>
      <c r="V645" s="24" t="str">
        <f>HYPERLINK("https://znanium.ru/catalog/product/1154376", "Ознакомиться")</f>
        <v>Ознакомиться</v>
      </c>
      <c r="W645" s="8" t="s">
        <v>180</v>
      </c>
      <c r="X645" s="6"/>
      <c r="Y645" s="6"/>
      <c r="Z645" s="6"/>
      <c r="AA645" s="6" t="s">
        <v>253</v>
      </c>
      <c r="AB645" s="8"/>
    </row>
    <row r="646" spans="1:28" s="4" customFormat="1" ht="42" customHeight="1">
      <c r="A646" s="5">
        <v>0</v>
      </c>
      <c r="B646" s="6" t="s">
        <v>4316</v>
      </c>
      <c r="C646" s="13">
        <v>800</v>
      </c>
      <c r="D646" s="8" t="s">
        <v>4317</v>
      </c>
      <c r="E646" s="8" t="s">
        <v>4318</v>
      </c>
      <c r="F646" s="8" t="s">
        <v>4319</v>
      </c>
      <c r="G646" s="6" t="s">
        <v>67</v>
      </c>
      <c r="H646" s="6" t="s">
        <v>39</v>
      </c>
      <c r="I646" s="8" t="s">
        <v>40</v>
      </c>
      <c r="J646" s="9">
        <v>1</v>
      </c>
      <c r="K646" s="9">
        <v>160</v>
      </c>
      <c r="L646" s="9">
        <v>2025</v>
      </c>
      <c r="M646" s="8" t="s">
        <v>4320</v>
      </c>
      <c r="N646" s="8" t="s">
        <v>125</v>
      </c>
      <c r="O646" s="8" t="s">
        <v>1630</v>
      </c>
      <c r="P646" s="6" t="s">
        <v>44</v>
      </c>
      <c r="Q646" s="8" t="s">
        <v>45</v>
      </c>
      <c r="R646" s="10" t="s">
        <v>4321</v>
      </c>
      <c r="S646" s="11"/>
      <c r="T646" s="6"/>
      <c r="U646" s="24" t="str">
        <f>HYPERLINK("https://media.infra-m.ru/1042/1042392/cover/1042392.jpg", "Обложка")</f>
        <v>Обложка</v>
      </c>
      <c r="V646" s="24" t="str">
        <f>HYPERLINK("https://znanium.ru/catalog/product/1042392", "Ознакомиться")</f>
        <v>Ознакомиться</v>
      </c>
      <c r="W646" s="8" t="s">
        <v>4322</v>
      </c>
      <c r="X646" s="6"/>
      <c r="Y646" s="6"/>
      <c r="Z646" s="6" t="s">
        <v>48</v>
      </c>
      <c r="AA646" s="6" t="s">
        <v>84</v>
      </c>
      <c r="AB646" s="8"/>
    </row>
    <row r="647" spans="1:28" s="4" customFormat="1" ht="51.95" customHeight="1">
      <c r="A647" s="5">
        <v>0</v>
      </c>
      <c r="B647" s="6" t="s">
        <v>4323</v>
      </c>
      <c r="C647" s="7">
        <v>1670</v>
      </c>
      <c r="D647" s="8" t="s">
        <v>4324</v>
      </c>
      <c r="E647" s="8" t="s">
        <v>4325</v>
      </c>
      <c r="F647" s="8" t="s">
        <v>4326</v>
      </c>
      <c r="G647" s="6" t="s">
        <v>90</v>
      </c>
      <c r="H647" s="6" t="s">
        <v>359</v>
      </c>
      <c r="I647" s="8"/>
      <c r="J647" s="9">
        <v>1</v>
      </c>
      <c r="K647" s="9">
        <v>320</v>
      </c>
      <c r="L647" s="9">
        <v>2025</v>
      </c>
      <c r="M647" s="8" t="s">
        <v>4327</v>
      </c>
      <c r="N647" s="8" t="s">
        <v>125</v>
      </c>
      <c r="O647" s="8" t="s">
        <v>126</v>
      </c>
      <c r="P647" s="6" t="s">
        <v>58</v>
      </c>
      <c r="Q647" s="8" t="s">
        <v>45</v>
      </c>
      <c r="R647" s="10" t="s">
        <v>2104</v>
      </c>
      <c r="S647" s="11"/>
      <c r="T647" s="6"/>
      <c r="U647" s="24" t="str">
        <f>HYPERLINK("https://media.infra-m.ru/2195/2195012/cover/2195012.jpg", "Обложка")</f>
        <v>Обложка</v>
      </c>
      <c r="V647" s="24" t="str">
        <f>HYPERLINK("https://znanium.ru/catalog/product/2195012", "Ознакомиться")</f>
        <v>Ознакомиться</v>
      </c>
      <c r="W647" s="8" t="s">
        <v>386</v>
      </c>
      <c r="X647" s="6"/>
      <c r="Y647" s="6"/>
      <c r="Z647" s="6"/>
      <c r="AA647" s="6" t="s">
        <v>129</v>
      </c>
      <c r="AB647" s="8"/>
    </row>
    <row r="648" spans="1:28" s="4" customFormat="1" ht="51.95" customHeight="1">
      <c r="A648" s="5">
        <v>0</v>
      </c>
      <c r="B648" s="6" t="s">
        <v>4328</v>
      </c>
      <c r="C648" s="13">
        <v>990</v>
      </c>
      <c r="D648" s="8" t="s">
        <v>4329</v>
      </c>
      <c r="E648" s="8" t="s">
        <v>4330</v>
      </c>
      <c r="F648" s="8" t="s">
        <v>4331</v>
      </c>
      <c r="G648" s="6" t="s">
        <v>90</v>
      </c>
      <c r="H648" s="6" t="s">
        <v>54</v>
      </c>
      <c r="I648" s="8"/>
      <c r="J648" s="9">
        <v>1</v>
      </c>
      <c r="K648" s="9">
        <v>192</v>
      </c>
      <c r="L648" s="9">
        <v>2025</v>
      </c>
      <c r="M648" s="8" t="s">
        <v>4332</v>
      </c>
      <c r="N648" s="8" t="s">
        <v>1306</v>
      </c>
      <c r="O648" s="8" t="s">
        <v>1307</v>
      </c>
      <c r="P648" s="6" t="s">
        <v>1285</v>
      </c>
      <c r="Q648" s="8" t="s">
        <v>45</v>
      </c>
      <c r="R648" s="10" t="s">
        <v>4333</v>
      </c>
      <c r="S648" s="11" t="s">
        <v>1466</v>
      </c>
      <c r="T648" s="6"/>
      <c r="U648" s="24" t="str">
        <f>HYPERLINK("https://media.infra-m.ru/2175/2175170/cover/2175170.jpg", "Обложка")</f>
        <v>Обложка</v>
      </c>
      <c r="V648" s="24" t="str">
        <f>HYPERLINK("https://znanium.ru/catalog/product/2175170", "Ознакомиться")</f>
        <v>Ознакомиться</v>
      </c>
      <c r="W648" s="8" t="s">
        <v>3140</v>
      </c>
      <c r="X648" s="6"/>
      <c r="Y648" s="6"/>
      <c r="Z648" s="6" t="s">
        <v>48</v>
      </c>
      <c r="AA648" s="6" t="s">
        <v>111</v>
      </c>
      <c r="AB648" s="8"/>
    </row>
    <row r="649" spans="1:28" s="4" customFormat="1" ht="42" customHeight="1">
      <c r="A649" s="5">
        <v>0</v>
      </c>
      <c r="B649" s="6" t="s">
        <v>4334</v>
      </c>
      <c r="C649" s="7">
        <v>1440</v>
      </c>
      <c r="D649" s="8" t="s">
        <v>4335</v>
      </c>
      <c r="E649" s="8" t="s">
        <v>4336</v>
      </c>
      <c r="F649" s="8" t="s">
        <v>4337</v>
      </c>
      <c r="G649" s="6" t="s">
        <v>90</v>
      </c>
      <c r="H649" s="6" t="s">
        <v>824</v>
      </c>
      <c r="I649" s="8"/>
      <c r="J649" s="9">
        <v>1</v>
      </c>
      <c r="K649" s="9">
        <v>320</v>
      </c>
      <c r="L649" s="9">
        <v>2023</v>
      </c>
      <c r="M649" s="8" t="s">
        <v>4338</v>
      </c>
      <c r="N649" s="8" t="s">
        <v>42</v>
      </c>
      <c r="O649" s="8" t="s">
        <v>43</v>
      </c>
      <c r="P649" s="6" t="s">
        <v>58</v>
      </c>
      <c r="Q649" s="8" t="s">
        <v>45</v>
      </c>
      <c r="R649" s="10" t="s">
        <v>4339</v>
      </c>
      <c r="S649" s="11"/>
      <c r="T649" s="6"/>
      <c r="U649" s="24" t="str">
        <f>HYPERLINK("https://media.infra-m.ru/1095/1095176/cover/1095176.jpg", "Обложка")</f>
        <v>Обложка</v>
      </c>
      <c r="V649" s="24" t="str">
        <f>HYPERLINK("https://znanium.ru/catalog/product/1095176", "Ознакомиться")</f>
        <v>Ознакомиться</v>
      </c>
      <c r="W649" s="8" t="s">
        <v>956</v>
      </c>
      <c r="X649" s="6"/>
      <c r="Y649" s="6"/>
      <c r="Z649" s="6"/>
      <c r="AA649" s="6" t="s">
        <v>129</v>
      </c>
      <c r="AB649" s="8"/>
    </row>
    <row r="650" spans="1:28" s="4" customFormat="1" ht="51.95" customHeight="1">
      <c r="A650" s="5">
        <v>0</v>
      </c>
      <c r="B650" s="6" t="s">
        <v>4340</v>
      </c>
      <c r="C650" s="13">
        <v>744</v>
      </c>
      <c r="D650" s="8" t="s">
        <v>4341</v>
      </c>
      <c r="E650" s="8" t="s">
        <v>4342</v>
      </c>
      <c r="F650" s="8" t="s">
        <v>4343</v>
      </c>
      <c r="G650" s="6" t="s">
        <v>67</v>
      </c>
      <c r="H650" s="6" t="s">
        <v>54</v>
      </c>
      <c r="I650" s="8" t="s">
        <v>40</v>
      </c>
      <c r="J650" s="9">
        <v>1</v>
      </c>
      <c r="K650" s="9">
        <v>143</v>
      </c>
      <c r="L650" s="9">
        <v>2025</v>
      </c>
      <c r="M650" s="8" t="s">
        <v>4344</v>
      </c>
      <c r="N650" s="8" t="s">
        <v>42</v>
      </c>
      <c r="O650" s="8" t="s">
        <v>169</v>
      </c>
      <c r="P650" s="6" t="s">
        <v>44</v>
      </c>
      <c r="Q650" s="8" t="s">
        <v>45</v>
      </c>
      <c r="R650" s="10" t="s">
        <v>4345</v>
      </c>
      <c r="S650" s="11" t="s">
        <v>784</v>
      </c>
      <c r="T650" s="6"/>
      <c r="U650" s="24" t="str">
        <f>HYPERLINK("https://media.infra-m.ru/2199/2199629/cover/2199629.jpg", "Обложка")</f>
        <v>Обложка</v>
      </c>
      <c r="V650" s="24" t="str">
        <f>HYPERLINK("https://znanium.ru/catalog/product/2140343", "Ознакомиться")</f>
        <v>Ознакомиться</v>
      </c>
      <c r="W650" s="8" t="s">
        <v>3009</v>
      </c>
      <c r="X650" s="6"/>
      <c r="Y650" s="6"/>
      <c r="Z650" s="6" t="s">
        <v>48</v>
      </c>
      <c r="AA650" s="6" t="s">
        <v>111</v>
      </c>
      <c r="AB650" s="8"/>
    </row>
    <row r="651" spans="1:28" s="4" customFormat="1" ht="51.95" customHeight="1">
      <c r="A651" s="5">
        <v>0</v>
      </c>
      <c r="B651" s="6" t="s">
        <v>4346</v>
      </c>
      <c r="C651" s="7">
        <v>2354</v>
      </c>
      <c r="D651" s="8" t="s">
        <v>4347</v>
      </c>
      <c r="E651" s="8" t="s">
        <v>4348</v>
      </c>
      <c r="F651" s="8" t="s">
        <v>462</v>
      </c>
      <c r="G651" s="6" t="s">
        <v>38</v>
      </c>
      <c r="H651" s="6" t="s">
        <v>54</v>
      </c>
      <c r="I651" s="8" t="s">
        <v>40</v>
      </c>
      <c r="J651" s="9">
        <v>1</v>
      </c>
      <c r="K651" s="9">
        <v>453</v>
      </c>
      <c r="L651" s="9">
        <v>2026</v>
      </c>
      <c r="M651" s="8" t="s">
        <v>4349</v>
      </c>
      <c r="N651" s="8" t="s">
        <v>125</v>
      </c>
      <c r="O651" s="8" t="s">
        <v>1630</v>
      </c>
      <c r="P651" s="6" t="s">
        <v>44</v>
      </c>
      <c r="Q651" s="8" t="s">
        <v>45</v>
      </c>
      <c r="R651" s="10" t="s">
        <v>4350</v>
      </c>
      <c r="S651" s="11"/>
      <c r="T651" s="6"/>
      <c r="U651" s="24" t="str">
        <f>HYPERLINK("https://media.infra-m.ru/2218/2218818/cover/2218818.jpg", "Обложка")</f>
        <v>Обложка</v>
      </c>
      <c r="V651" s="24" t="str">
        <f>HYPERLINK("https://znanium.ru/catalog/product/2215370", "Ознакомиться")</f>
        <v>Ознакомиться</v>
      </c>
      <c r="W651" s="8" t="s">
        <v>466</v>
      </c>
      <c r="X651" s="6"/>
      <c r="Y651" s="6"/>
      <c r="Z651" s="6"/>
      <c r="AA651" s="6" t="s">
        <v>84</v>
      </c>
      <c r="AB651" s="8" t="s">
        <v>2908</v>
      </c>
    </row>
    <row r="652" spans="1:28" s="4" customFormat="1" ht="42" customHeight="1">
      <c r="A652" s="5">
        <v>0</v>
      </c>
      <c r="B652" s="6" t="s">
        <v>4351</v>
      </c>
      <c r="C652" s="13">
        <v>980</v>
      </c>
      <c r="D652" s="8" t="s">
        <v>4352</v>
      </c>
      <c r="E652" s="8" t="s">
        <v>4353</v>
      </c>
      <c r="F652" s="8" t="s">
        <v>4354</v>
      </c>
      <c r="G652" s="6" t="s">
        <v>38</v>
      </c>
      <c r="H652" s="6" t="s">
        <v>54</v>
      </c>
      <c r="I652" s="8" t="s">
        <v>40</v>
      </c>
      <c r="J652" s="9">
        <v>1</v>
      </c>
      <c r="K652" s="9">
        <v>176</v>
      </c>
      <c r="L652" s="9">
        <v>2025</v>
      </c>
      <c r="M652" s="8" t="s">
        <v>4355</v>
      </c>
      <c r="N652" s="8" t="s">
        <v>1306</v>
      </c>
      <c r="O652" s="8" t="s">
        <v>1307</v>
      </c>
      <c r="P652" s="6" t="s">
        <v>44</v>
      </c>
      <c r="Q652" s="8" t="s">
        <v>45</v>
      </c>
      <c r="R652" s="10" t="s">
        <v>4356</v>
      </c>
      <c r="S652" s="11"/>
      <c r="T652" s="6"/>
      <c r="U652" s="24" t="str">
        <f>HYPERLINK("https://media.infra-m.ru/2170/2170970/cover/2170970.jpg", "Обложка")</f>
        <v>Обложка</v>
      </c>
      <c r="V652" s="24" t="str">
        <f>HYPERLINK("https://znanium.ru/catalog/product/2170970", "Ознакомиться")</f>
        <v>Ознакомиться</v>
      </c>
      <c r="W652" s="8" t="s">
        <v>2092</v>
      </c>
      <c r="X652" s="6" t="s">
        <v>1400</v>
      </c>
      <c r="Y652" s="6"/>
      <c r="Z652" s="6"/>
      <c r="AA652" s="6" t="s">
        <v>84</v>
      </c>
      <c r="AB652" s="8" t="s">
        <v>85</v>
      </c>
    </row>
    <row r="653" spans="1:28" s="4" customFormat="1" ht="51.95" customHeight="1">
      <c r="A653" s="5">
        <v>0</v>
      </c>
      <c r="B653" s="6" t="s">
        <v>4357</v>
      </c>
      <c r="C653" s="7">
        <v>1124</v>
      </c>
      <c r="D653" s="8" t="s">
        <v>4358</v>
      </c>
      <c r="E653" s="8" t="s">
        <v>4359</v>
      </c>
      <c r="F653" s="8" t="s">
        <v>4360</v>
      </c>
      <c r="G653" s="6" t="s">
        <v>38</v>
      </c>
      <c r="H653" s="6" t="s">
        <v>68</v>
      </c>
      <c r="I653" s="8" t="s">
        <v>1110</v>
      </c>
      <c r="J653" s="9">
        <v>1</v>
      </c>
      <c r="K653" s="9">
        <v>224</v>
      </c>
      <c r="L653" s="9">
        <v>2025</v>
      </c>
      <c r="M653" s="8" t="s">
        <v>4361</v>
      </c>
      <c r="N653" s="8" t="s">
        <v>42</v>
      </c>
      <c r="O653" s="8" t="s">
        <v>319</v>
      </c>
      <c r="P653" s="6" t="s">
        <v>44</v>
      </c>
      <c r="Q653" s="8" t="s">
        <v>45</v>
      </c>
      <c r="R653" s="10" t="s">
        <v>4362</v>
      </c>
      <c r="S653" s="11" t="s">
        <v>2240</v>
      </c>
      <c r="T653" s="6"/>
      <c r="U653" s="24" t="str">
        <f>HYPERLINK("https://media.infra-m.ru/2180/2180238/cover/2180238.jpg", "Обложка")</f>
        <v>Обложка</v>
      </c>
      <c r="V653" s="24" t="str">
        <f>HYPERLINK("https://znanium.ru/catalog/product/2180238", "Ознакомиться")</f>
        <v>Ознакомиться</v>
      </c>
      <c r="W653" s="8" t="s">
        <v>2241</v>
      </c>
      <c r="X653" s="6"/>
      <c r="Y653" s="6"/>
      <c r="Z653" s="6"/>
      <c r="AA653" s="6" t="s">
        <v>147</v>
      </c>
      <c r="AB653" s="8"/>
    </row>
    <row r="654" spans="1:28" s="4" customFormat="1" ht="51.95" customHeight="1">
      <c r="A654" s="5">
        <v>0</v>
      </c>
      <c r="B654" s="6" t="s">
        <v>4363</v>
      </c>
      <c r="C654" s="7">
        <v>1030</v>
      </c>
      <c r="D654" s="8" t="s">
        <v>4364</v>
      </c>
      <c r="E654" s="8" t="s">
        <v>4365</v>
      </c>
      <c r="F654" s="8" t="s">
        <v>4288</v>
      </c>
      <c r="G654" s="6" t="s">
        <v>90</v>
      </c>
      <c r="H654" s="6" t="s">
        <v>54</v>
      </c>
      <c r="I654" s="8" t="s">
        <v>40</v>
      </c>
      <c r="J654" s="9">
        <v>1</v>
      </c>
      <c r="K654" s="9">
        <v>198</v>
      </c>
      <c r="L654" s="9">
        <v>2025</v>
      </c>
      <c r="M654" s="8" t="s">
        <v>4366</v>
      </c>
      <c r="N654" s="8" t="s">
        <v>125</v>
      </c>
      <c r="O654" s="8" t="s">
        <v>432</v>
      </c>
      <c r="P654" s="6" t="s">
        <v>58</v>
      </c>
      <c r="Q654" s="8" t="s">
        <v>45</v>
      </c>
      <c r="R654" s="10" t="s">
        <v>585</v>
      </c>
      <c r="S654" s="11" t="s">
        <v>4367</v>
      </c>
      <c r="T654" s="6"/>
      <c r="U654" s="24" t="str">
        <f>HYPERLINK("https://media.infra-m.ru/2184/2184578/cover/2184578.jpg", "Обложка")</f>
        <v>Обложка</v>
      </c>
      <c r="V654" s="24" t="str">
        <f>HYPERLINK("https://znanium.ru/catalog/product/1018363", "Ознакомиться")</f>
        <v>Ознакомиться</v>
      </c>
      <c r="W654" s="8" t="s">
        <v>909</v>
      </c>
      <c r="X654" s="6"/>
      <c r="Y654" s="6"/>
      <c r="Z654" s="6"/>
      <c r="AA654" s="6" t="s">
        <v>223</v>
      </c>
      <c r="AB654" s="8"/>
    </row>
    <row r="655" spans="1:28" s="4" customFormat="1" ht="51.95" customHeight="1">
      <c r="A655" s="5">
        <v>0</v>
      </c>
      <c r="B655" s="6" t="s">
        <v>4368</v>
      </c>
      <c r="C655" s="7">
        <v>1044</v>
      </c>
      <c r="D655" s="8" t="s">
        <v>4369</v>
      </c>
      <c r="E655" s="8" t="s">
        <v>4370</v>
      </c>
      <c r="F655" s="8" t="s">
        <v>4371</v>
      </c>
      <c r="G655" s="6" t="s">
        <v>90</v>
      </c>
      <c r="H655" s="6" t="s">
        <v>299</v>
      </c>
      <c r="I655" s="8" t="s">
        <v>40</v>
      </c>
      <c r="J655" s="9">
        <v>1</v>
      </c>
      <c r="K655" s="9">
        <v>208</v>
      </c>
      <c r="L655" s="9">
        <v>2025</v>
      </c>
      <c r="M655" s="8" t="s">
        <v>4372</v>
      </c>
      <c r="N655" s="8" t="s">
        <v>125</v>
      </c>
      <c r="O655" s="8" t="s">
        <v>432</v>
      </c>
      <c r="P655" s="6" t="s">
        <v>44</v>
      </c>
      <c r="Q655" s="8" t="s">
        <v>45</v>
      </c>
      <c r="R655" s="10" t="s">
        <v>585</v>
      </c>
      <c r="S655" s="11" t="s">
        <v>4373</v>
      </c>
      <c r="T655" s="6"/>
      <c r="U655" s="24" t="str">
        <f>HYPERLINK("https://media.infra-m.ru/2163/2163789/cover/2163789.jpg", "Обложка")</f>
        <v>Обложка</v>
      </c>
      <c r="V655" s="24" t="str">
        <f>HYPERLINK("https://znanium.ru/catalog/product/2163789", "Ознакомиться")</f>
        <v>Ознакомиться</v>
      </c>
      <c r="W655" s="8" t="s">
        <v>4374</v>
      </c>
      <c r="X655" s="6"/>
      <c r="Y655" s="6"/>
      <c r="Z655" s="6" t="s">
        <v>48</v>
      </c>
      <c r="AA655" s="6" t="s">
        <v>111</v>
      </c>
      <c r="AB655" s="8"/>
    </row>
    <row r="656" spans="1:28" s="4" customFormat="1" ht="51.95" customHeight="1">
      <c r="A656" s="5">
        <v>0</v>
      </c>
      <c r="B656" s="6" t="s">
        <v>4375</v>
      </c>
      <c r="C656" s="7">
        <v>1490</v>
      </c>
      <c r="D656" s="8" t="s">
        <v>4376</v>
      </c>
      <c r="E656" s="8" t="s">
        <v>4377</v>
      </c>
      <c r="F656" s="8" t="s">
        <v>4378</v>
      </c>
      <c r="G656" s="6" t="s">
        <v>90</v>
      </c>
      <c r="H656" s="6" t="s">
        <v>54</v>
      </c>
      <c r="I656" s="8" t="s">
        <v>40</v>
      </c>
      <c r="J656" s="9">
        <v>1</v>
      </c>
      <c r="K656" s="9">
        <v>298</v>
      </c>
      <c r="L656" s="9">
        <v>2025</v>
      </c>
      <c r="M656" s="8" t="s">
        <v>4379</v>
      </c>
      <c r="N656" s="8" t="s">
        <v>1306</v>
      </c>
      <c r="O656" s="8" t="s">
        <v>1307</v>
      </c>
      <c r="P656" s="6" t="s">
        <v>1285</v>
      </c>
      <c r="Q656" s="8" t="s">
        <v>45</v>
      </c>
      <c r="R656" s="10" t="s">
        <v>4108</v>
      </c>
      <c r="S656" s="11" t="s">
        <v>4380</v>
      </c>
      <c r="T656" s="6"/>
      <c r="U656" s="24" t="str">
        <f>HYPERLINK("https://media.infra-m.ru/2179/2179100/cover/2179100.jpg", "Обложка")</f>
        <v>Обложка</v>
      </c>
      <c r="V656" s="24" t="str">
        <f>HYPERLINK("https://znanium.ru/catalog/product/2179100", "Ознакомиться")</f>
        <v>Ознакомиться</v>
      </c>
      <c r="W656" s="8" t="s">
        <v>4381</v>
      </c>
      <c r="X656" s="6"/>
      <c r="Y656" s="6"/>
      <c r="Z656" s="6"/>
      <c r="AA656" s="6" t="s">
        <v>223</v>
      </c>
      <c r="AB656" s="8"/>
    </row>
    <row r="657" spans="1:28" s="4" customFormat="1" ht="51.95" customHeight="1">
      <c r="A657" s="5">
        <v>0</v>
      </c>
      <c r="B657" s="6" t="s">
        <v>4382</v>
      </c>
      <c r="C657" s="7">
        <v>1610</v>
      </c>
      <c r="D657" s="8" t="s">
        <v>4383</v>
      </c>
      <c r="E657" s="8" t="s">
        <v>4384</v>
      </c>
      <c r="F657" s="8" t="s">
        <v>4378</v>
      </c>
      <c r="G657" s="6" t="s">
        <v>90</v>
      </c>
      <c r="H657" s="6" t="s">
        <v>54</v>
      </c>
      <c r="I657" s="8" t="s">
        <v>40</v>
      </c>
      <c r="J657" s="9">
        <v>1</v>
      </c>
      <c r="K657" s="9">
        <v>322</v>
      </c>
      <c r="L657" s="9">
        <v>2025</v>
      </c>
      <c r="M657" s="8" t="s">
        <v>4385</v>
      </c>
      <c r="N657" s="8" t="s">
        <v>1306</v>
      </c>
      <c r="O657" s="8" t="s">
        <v>1307</v>
      </c>
      <c r="P657" s="6" t="s">
        <v>1285</v>
      </c>
      <c r="Q657" s="8" t="s">
        <v>45</v>
      </c>
      <c r="R657" s="10" t="s">
        <v>4108</v>
      </c>
      <c r="S657" s="11" t="s">
        <v>4380</v>
      </c>
      <c r="T657" s="6"/>
      <c r="U657" s="24" t="str">
        <f>HYPERLINK("https://media.infra-m.ru/2185/2185169/cover/2185169.jpg", "Обложка")</f>
        <v>Обложка</v>
      </c>
      <c r="V657" s="24" t="str">
        <f>HYPERLINK("https://znanium.ru/catalog/product/2185169", "Ознакомиться")</f>
        <v>Ознакомиться</v>
      </c>
      <c r="W657" s="8" t="s">
        <v>4381</v>
      </c>
      <c r="X657" s="6"/>
      <c r="Y657" s="6"/>
      <c r="Z657" s="6"/>
      <c r="AA657" s="6" t="s">
        <v>740</v>
      </c>
      <c r="AB657" s="8"/>
    </row>
    <row r="658" spans="1:28" s="4" customFormat="1" ht="51.95" customHeight="1">
      <c r="A658" s="5">
        <v>0</v>
      </c>
      <c r="B658" s="6" t="s">
        <v>4386</v>
      </c>
      <c r="C658" s="7">
        <v>1710</v>
      </c>
      <c r="D658" s="8" t="s">
        <v>4387</v>
      </c>
      <c r="E658" s="8" t="s">
        <v>4388</v>
      </c>
      <c r="F658" s="8" t="s">
        <v>4378</v>
      </c>
      <c r="G658" s="6" t="s">
        <v>90</v>
      </c>
      <c r="H658" s="6" t="s">
        <v>54</v>
      </c>
      <c r="I658" s="8" t="s">
        <v>40</v>
      </c>
      <c r="J658" s="9">
        <v>1</v>
      </c>
      <c r="K658" s="9">
        <v>323</v>
      </c>
      <c r="L658" s="9">
        <v>2026</v>
      </c>
      <c r="M658" s="8" t="s">
        <v>4389</v>
      </c>
      <c r="N658" s="8" t="s">
        <v>1306</v>
      </c>
      <c r="O658" s="8" t="s">
        <v>1307</v>
      </c>
      <c r="P658" s="6" t="s">
        <v>1285</v>
      </c>
      <c r="Q658" s="8" t="s">
        <v>45</v>
      </c>
      <c r="R658" s="10" t="s">
        <v>4108</v>
      </c>
      <c r="S658" s="11" t="s">
        <v>4390</v>
      </c>
      <c r="T658" s="6"/>
      <c r="U658" s="24" t="str">
        <f>HYPERLINK("https://media.infra-m.ru/2219/2219319/cover/2219319.jpg", "Обложка")</f>
        <v>Обложка</v>
      </c>
      <c r="V658" s="24" t="str">
        <f>HYPERLINK("https://znanium.ru/catalog/product/2219319", "Ознакомиться")</f>
        <v>Ознакомиться</v>
      </c>
      <c r="W658" s="8" t="s">
        <v>4381</v>
      </c>
      <c r="X658" s="6"/>
      <c r="Y658" s="6"/>
      <c r="Z658" s="6"/>
      <c r="AA658" s="6" t="s">
        <v>740</v>
      </c>
      <c r="AB658" s="8" t="s">
        <v>869</v>
      </c>
    </row>
    <row r="659" spans="1:28" s="4" customFormat="1" ht="51.95" customHeight="1">
      <c r="A659" s="5">
        <v>0</v>
      </c>
      <c r="B659" s="6" t="s">
        <v>4391</v>
      </c>
      <c r="C659" s="7">
        <v>1690</v>
      </c>
      <c r="D659" s="8" t="s">
        <v>4392</v>
      </c>
      <c r="E659" s="8" t="s">
        <v>4393</v>
      </c>
      <c r="F659" s="8" t="s">
        <v>4378</v>
      </c>
      <c r="G659" s="6" t="s">
        <v>90</v>
      </c>
      <c r="H659" s="6" t="s">
        <v>54</v>
      </c>
      <c r="I659" s="8" t="s">
        <v>40</v>
      </c>
      <c r="J659" s="9">
        <v>1</v>
      </c>
      <c r="K659" s="9">
        <v>337</v>
      </c>
      <c r="L659" s="9">
        <v>2025</v>
      </c>
      <c r="M659" s="8" t="s">
        <v>4394</v>
      </c>
      <c r="N659" s="8" t="s">
        <v>1306</v>
      </c>
      <c r="O659" s="8" t="s">
        <v>1307</v>
      </c>
      <c r="P659" s="6" t="s">
        <v>1285</v>
      </c>
      <c r="Q659" s="8" t="s">
        <v>45</v>
      </c>
      <c r="R659" s="10" t="s">
        <v>4108</v>
      </c>
      <c r="S659" s="11" t="s">
        <v>4390</v>
      </c>
      <c r="T659" s="6"/>
      <c r="U659" s="24" t="str">
        <f>HYPERLINK("https://media.infra-m.ru/2166/2166205/cover/2166205.jpg", "Обложка")</f>
        <v>Обложка</v>
      </c>
      <c r="V659" s="24" t="str">
        <f>HYPERLINK("https://znanium.ru/catalog/product/2166205", "Ознакомиться")</f>
        <v>Ознакомиться</v>
      </c>
      <c r="W659" s="8" t="s">
        <v>4381</v>
      </c>
      <c r="X659" s="6"/>
      <c r="Y659" s="6"/>
      <c r="Z659" s="6"/>
      <c r="AA659" s="6" t="s">
        <v>740</v>
      </c>
      <c r="AB659" s="8" t="s">
        <v>869</v>
      </c>
    </row>
    <row r="660" spans="1:28" s="4" customFormat="1" ht="51.95" customHeight="1">
      <c r="A660" s="5">
        <v>0</v>
      </c>
      <c r="B660" s="6" t="s">
        <v>4395</v>
      </c>
      <c r="C660" s="7">
        <v>1440</v>
      </c>
      <c r="D660" s="8" t="s">
        <v>4396</v>
      </c>
      <c r="E660" s="8" t="s">
        <v>4397</v>
      </c>
      <c r="F660" s="8" t="s">
        <v>4378</v>
      </c>
      <c r="G660" s="6" t="s">
        <v>90</v>
      </c>
      <c r="H660" s="6" t="s">
        <v>54</v>
      </c>
      <c r="I660" s="8" t="s">
        <v>40</v>
      </c>
      <c r="J660" s="9">
        <v>1</v>
      </c>
      <c r="K660" s="9">
        <v>288</v>
      </c>
      <c r="L660" s="9">
        <v>2025</v>
      </c>
      <c r="M660" s="8" t="s">
        <v>4398</v>
      </c>
      <c r="N660" s="8" t="s">
        <v>1306</v>
      </c>
      <c r="O660" s="8" t="s">
        <v>1307</v>
      </c>
      <c r="P660" s="6" t="s">
        <v>1285</v>
      </c>
      <c r="Q660" s="8" t="s">
        <v>45</v>
      </c>
      <c r="R660" s="10" t="s">
        <v>4108</v>
      </c>
      <c r="S660" s="11" t="s">
        <v>4399</v>
      </c>
      <c r="T660" s="6"/>
      <c r="U660" s="24" t="str">
        <f>HYPERLINK("https://media.infra-m.ru/2166/2166207/cover/2166207.jpg", "Обложка")</f>
        <v>Обложка</v>
      </c>
      <c r="V660" s="24" t="str">
        <f>HYPERLINK("https://znanium.ru/catalog/product/2166207", "Ознакомиться")</f>
        <v>Ознакомиться</v>
      </c>
      <c r="W660" s="8" t="s">
        <v>4381</v>
      </c>
      <c r="X660" s="6"/>
      <c r="Y660" s="6"/>
      <c r="Z660" s="6"/>
      <c r="AA660" s="6" t="s">
        <v>766</v>
      </c>
      <c r="AB660" s="8"/>
    </row>
    <row r="661" spans="1:28" s="4" customFormat="1" ht="51.95" customHeight="1">
      <c r="A661" s="5">
        <v>0</v>
      </c>
      <c r="B661" s="6" t="s">
        <v>4400</v>
      </c>
      <c r="C661" s="7">
        <v>1910</v>
      </c>
      <c r="D661" s="8" t="s">
        <v>4401</v>
      </c>
      <c r="E661" s="8" t="s">
        <v>4402</v>
      </c>
      <c r="F661" s="8" t="s">
        <v>4403</v>
      </c>
      <c r="G661" s="6" t="s">
        <v>38</v>
      </c>
      <c r="H661" s="6" t="s">
        <v>299</v>
      </c>
      <c r="I661" s="8" t="s">
        <v>40</v>
      </c>
      <c r="J661" s="9">
        <v>1</v>
      </c>
      <c r="K661" s="9">
        <v>417</v>
      </c>
      <c r="L661" s="9">
        <v>2023</v>
      </c>
      <c r="M661" s="8" t="s">
        <v>4404</v>
      </c>
      <c r="N661" s="8" t="s">
        <v>42</v>
      </c>
      <c r="O661" s="8" t="s">
        <v>169</v>
      </c>
      <c r="P661" s="6" t="s">
        <v>58</v>
      </c>
      <c r="Q661" s="8" t="s">
        <v>45</v>
      </c>
      <c r="R661" s="10" t="s">
        <v>4405</v>
      </c>
      <c r="S661" s="11" t="s">
        <v>4406</v>
      </c>
      <c r="T661" s="6"/>
      <c r="U661" s="24" t="str">
        <f>HYPERLINK("https://media.infra-m.ru/2051/2051245/cover/2051245.jpg", "Обложка")</f>
        <v>Обложка</v>
      </c>
      <c r="V661" s="24" t="str">
        <f>HYPERLINK("https://znanium.ru/catalog/product/2051245", "Ознакомиться")</f>
        <v>Ознакомиться</v>
      </c>
      <c r="W661" s="8"/>
      <c r="X661" s="6"/>
      <c r="Y661" s="6"/>
      <c r="Z661" s="6"/>
      <c r="AA661" s="6" t="s">
        <v>766</v>
      </c>
      <c r="AB661" s="8"/>
    </row>
    <row r="662" spans="1:28" s="4" customFormat="1" ht="51.95" customHeight="1">
      <c r="A662" s="5">
        <v>0</v>
      </c>
      <c r="B662" s="6" t="s">
        <v>4407</v>
      </c>
      <c r="C662" s="7">
        <v>1900</v>
      </c>
      <c r="D662" s="8" t="s">
        <v>4408</v>
      </c>
      <c r="E662" s="8" t="s">
        <v>4409</v>
      </c>
      <c r="F662" s="8" t="s">
        <v>4410</v>
      </c>
      <c r="G662" s="6" t="s">
        <v>90</v>
      </c>
      <c r="H662" s="6" t="s">
        <v>54</v>
      </c>
      <c r="I662" s="8" t="s">
        <v>40</v>
      </c>
      <c r="J662" s="9">
        <v>1</v>
      </c>
      <c r="K662" s="9">
        <v>421</v>
      </c>
      <c r="L662" s="9">
        <v>2023</v>
      </c>
      <c r="M662" s="8" t="s">
        <v>4411</v>
      </c>
      <c r="N662" s="8" t="s">
        <v>125</v>
      </c>
      <c r="O662" s="8" t="s">
        <v>1630</v>
      </c>
      <c r="P662" s="6" t="s">
        <v>44</v>
      </c>
      <c r="Q662" s="8" t="s">
        <v>45</v>
      </c>
      <c r="R662" s="10" t="s">
        <v>4412</v>
      </c>
      <c r="S662" s="11" t="s">
        <v>4413</v>
      </c>
      <c r="T662" s="6"/>
      <c r="U662" s="24" t="str">
        <f>HYPERLINK("https://media.infra-m.ru/1960/1960109/cover/1960109.jpg", "Обложка")</f>
        <v>Обложка</v>
      </c>
      <c r="V662" s="24" t="str">
        <f>HYPERLINK("https://znanium.ru/catalog/product/1960109", "Ознакомиться")</f>
        <v>Ознакомиться</v>
      </c>
      <c r="W662" s="8" t="s">
        <v>4414</v>
      </c>
      <c r="X662" s="6"/>
      <c r="Y662" s="6" t="s">
        <v>30</v>
      </c>
      <c r="Z662" s="6" t="s">
        <v>48</v>
      </c>
      <c r="AA662" s="6" t="s">
        <v>111</v>
      </c>
      <c r="AB662" s="8"/>
    </row>
    <row r="663" spans="1:28" s="4" customFormat="1" ht="51.95" customHeight="1">
      <c r="A663" s="5">
        <v>0</v>
      </c>
      <c r="B663" s="6" t="s">
        <v>4415</v>
      </c>
      <c r="C663" s="7">
        <v>1564</v>
      </c>
      <c r="D663" s="8" t="s">
        <v>4416</v>
      </c>
      <c r="E663" s="8" t="s">
        <v>4417</v>
      </c>
      <c r="F663" s="8" t="s">
        <v>4418</v>
      </c>
      <c r="G663" s="6" t="s">
        <v>90</v>
      </c>
      <c r="H663" s="6" t="s">
        <v>54</v>
      </c>
      <c r="I663" s="8" t="s">
        <v>40</v>
      </c>
      <c r="J663" s="9">
        <v>1</v>
      </c>
      <c r="K663" s="9">
        <v>313</v>
      </c>
      <c r="L663" s="9">
        <v>2025</v>
      </c>
      <c r="M663" s="8" t="s">
        <v>4419</v>
      </c>
      <c r="N663" s="8" t="s">
        <v>125</v>
      </c>
      <c r="O663" s="8" t="s">
        <v>126</v>
      </c>
      <c r="P663" s="6" t="s">
        <v>44</v>
      </c>
      <c r="Q663" s="8" t="s">
        <v>45</v>
      </c>
      <c r="R663" s="10" t="s">
        <v>464</v>
      </c>
      <c r="S663" s="11" t="s">
        <v>4420</v>
      </c>
      <c r="T663" s="6"/>
      <c r="U663" s="24" t="str">
        <f>HYPERLINK("https://media.infra-m.ru/2169/2169213/cover/2169213.jpg", "Обложка")</f>
        <v>Обложка</v>
      </c>
      <c r="V663" s="24" t="str">
        <f>HYPERLINK("https://znanium.ru/catalog/product/2103209", "Ознакомиться")</f>
        <v>Ознакомиться</v>
      </c>
      <c r="W663" s="8"/>
      <c r="X663" s="6"/>
      <c r="Y663" s="6"/>
      <c r="Z663" s="6" t="s">
        <v>48</v>
      </c>
      <c r="AA663" s="6" t="s">
        <v>443</v>
      </c>
      <c r="AB663" s="8"/>
    </row>
    <row r="664" spans="1:28" s="4" customFormat="1" ht="51.95" customHeight="1">
      <c r="A664" s="5">
        <v>0</v>
      </c>
      <c r="B664" s="6" t="s">
        <v>4421</v>
      </c>
      <c r="C664" s="7">
        <v>1924</v>
      </c>
      <c r="D664" s="8" t="s">
        <v>4422</v>
      </c>
      <c r="E664" s="8" t="s">
        <v>4423</v>
      </c>
      <c r="F664" s="8" t="s">
        <v>4424</v>
      </c>
      <c r="G664" s="6" t="s">
        <v>38</v>
      </c>
      <c r="H664" s="6" t="s">
        <v>39</v>
      </c>
      <c r="I664" s="8" t="s">
        <v>69</v>
      </c>
      <c r="J664" s="9">
        <v>1</v>
      </c>
      <c r="K664" s="9">
        <v>384</v>
      </c>
      <c r="L664" s="9">
        <v>2024</v>
      </c>
      <c r="M664" s="8" t="s">
        <v>4425</v>
      </c>
      <c r="N664" s="8" t="s">
        <v>125</v>
      </c>
      <c r="O664" s="8" t="s">
        <v>432</v>
      </c>
      <c r="P664" s="6" t="s">
        <v>71</v>
      </c>
      <c r="Q664" s="8" t="s">
        <v>45</v>
      </c>
      <c r="R664" s="10" t="s">
        <v>4426</v>
      </c>
      <c r="S664" s="11" t="s">
        <v>2555</v>
      </c>
      <c r="T664" s="6"/>
      <c r="U664" s="24" t="str">
        <f>HYPERLINK("https://media.infra-m.ru/2165/2165114/cover/2165114.jpg", "Обложка")</f>
        <v>Обложка</v>
      </c>
      <c r="V664" s="24" t="str">
        <f>HYPERLINK("https://znanium.ru/catalog/product/1001129", "Ознакомиться")</f>
        <v>Ознакомиться</v>
      </c>
      <c r="W664" s="8" t="s">
        <v>4322</v>
      </c>
      <c r="X664" s="6"/>
      <c r="Y664" s="6"/>
      <c r="Z664" s="6"/>
      <c r="AA664" s="6" t="s">
        <v>278</v>
      </c>
      <c r="AB664" s="8"/>
    </row>
    <row r="665" spans="1:28" s="4" customFormat="1" ht="51.95" customHeight="1">
      <c r="A665" s="5">
        <v>0</v>
      </c>
      <c r="B665" s="6" t="s">
        <v>4427</v>
      </c>
      <c r="C665" s="7">
        <v>1034</v>
      </c>
      <c r="D665" s="8" t="s">
        <v>4428</v>
      </c>
      <c r="E665" s="8" t="s">
        <v>4429</v>
      </c>
      <c r="F665" s="8" t="s">
        <v>4430</v>
      </c>
      <c r="G665" s="6" t="s">
        <v>90</v>
      </c>
      <c r="H665" s="6" t="s">
        <v>54</v>
      </c>
      <c r="I665" s="8" t="s">
        <v>40</v>
      </c>
      <c r="J665" s="9">
        <v>1</v>
      </c>
      <c r="K665" s="9">
        <v>207</v>
      </c>
      <c r="L665" s="9">
        <v>2025</v>
      </c>
      <c r="M665" s="8" t="s">
        <v>4431</v>
      </c>
      <c r="N665" s="8" t="s">
        <v>125</v>
      </c>
      <c r="O665" s="8" t="s">
        <v>126</v>
      </c>
      <c r="P665" s="6" t="s">
        <v>44</v>
      </c>
      <c r="Q665" s="8" t="s">
        <v>45</v>
      </c>
      <c r="R665" s="10" t="s">
        <v>660</v>
      </c>
      <c r="S665" s="11" t="s">
        <v>4432</v>
      </c>
      <c r="T665" s="6"/>
      <c r="U665" s="24" t="str">
        <f>HYPERLINK("https://media.infra-m.ru/2172/2172774/cover/2172774.jpg", "Обложка")</f>
        <v>Обложка</v>
      </c>
      <c r="V665" s="24" t="str">
        <f>HYPERLINK("https://znanium.ru/catalog/product/2110068", "Ознакомиться")</f>
        <v>Ознакомиться</v>
      </c>
      <c r="W665" s="8" t="s">
        <v>386</v>
      </c>
      <c r="X665" s="6"/>
      <c r="Y665" s="6"/>
      <c r="Z665" s="6"/>
      <c r="AA665" s="6" t="s">
        <v>147</v>
      </c>
      <c r="AB665" s="8" t="s">
        <v>401</v>
      </c>
    </row>
    <row r="666" spans="1:28" s="4" customFormat="1" ht="51.95" customHeight="1">
      <c r="A666" s="5">
        <v>0</v>
      </c>
      <c r="B666" s="6" t="s">
        <v>4433</v>
      </c>
      <c r="C666" s="13">
        <v>830</v>
      </c>
      <c r="D666" s="8" t="s">
        <v>4434</v>
      </c>
      <c r="E666" s="8" t="s">
        <v>4435</v>
      </c>
      <c r="F666" s="8" t="s">
        <v>4436</v>
      </c>
      <c r="G666" s="6" t="s">
        <v>90</v>
      </c>
      <c r="H666" s="6" t="s">
        <v>299</v>
      </c>
      <c r="I666" s="8" t="s">
        <v>40</v>
      </c>
      <c r="J666" s="9">
        <v>1</v>
      </c>
      <c r="K666" s="9">
        <v>176</v>
      </c>
      <c r="L666" s="9">
        <v>2024</v>
      </c>
      <c r="M666" s="8" t="s">
        <v>4437</v>
      </c>
      <c r="N666" s="8" t="s">
        <v>125</v>
      </c>
      <c r="O666" s="8" t="s">
        <v>1630</v>
      </c>
      <c r="P666" s="6" t="s">
        <v>44</v>
      </c>
      <c r="Q666" s="8" t="s">
        <v>45</v>
      </c>
      <c r="R666" s="10" t="s">
        <v>4438</v>
      </c>
      <c r="S666" s="11" t="s">
        <v>1106</v>
      </c>
      <c r="T666" s="6"/>
      <c r="U666" s="24" t="str">
        <f>HYPERLINK("https://media.infra-m.ru/2143/2143508/cover/2143508.jpg", "Обложка")</f>
        <v>Обложка</v>
      </c>
      <c r="V666" s="24" t="str">
        <f>HYPERLINK("https://znanium.ru/catalog/product/2143508", "Ознакомиться")</f>
        <v>Ознакомиться</v>
      </c>
      <c r="W666" s="8"/>
      <c r="X666" s="6"/>
      <c r="Y666" s="6"/>
      <c r="Z666" s="6"/>
      <c r="AA666" s="6" t="s">
        <v>988</v>
      </c>
      <c r="AB666" s="8"/>
    </row>
    <row r="667" spans="1:28" s="4" customFormat="1" ht="51.95" customHeight="1">
      <c r="A667" s="5">
        <v>0</v>
      </c>
      <c r="B667" s="6" t="s">
        <v>4439</v>
      </c>
      <c r="C667" s="7">
        <v>2330</v>
      </c>
      <c r="D667" s="8" t="s">
        <v>4440</v>
      </c>
      <c r="E667" s="8" t="s">
        <v>4441</v>
      </c>
      <c r="F667" s="8" t="s">
        <v>4442</v>
      </c>
      <c r="G667" s="6" t="s">
        <v>38</v>
      </c>
      <c r="H667" s="6" t="s">
        <v>54</v>
      </c>
      <c r="I667" s="8" t="s">
        <v>40</v>
      </c>
      <c r="J667" s="9">
        <v>1</v>
      </c>
      <c r="K667" s="9">
        <v>506</v>
      </c>
      <c r="L667" s="9">
        <v>2024</v>
      </c>
      <c r="M667" s="8" t="s">
        <v>4443</v>
      </c>
      <c r="N667" s="8" t="s">
        <v>125</v>
      </c>
      <c r="O667" s="8" t="s">
        <v>1630</v>
      </c>
      <c r="P667" s="6" t="s">
        <v>58</v>
      </c>
      <c r="Q667" s="8" t="s">
        <v>45</v>
      </c>
      <c r="R667" s="10" t="s">
        <v>4444</v>
      </c>
      <c r="S667" s="11" t="s">
        <v>4445</v>
      </c>
      <c r="T667" s="6"/>
      <c r="U667" s="24" t="str">
        <f>HYPERLINK("https://media.infra-m.ru/2084/2084138/cover/2084138.jpg", "Обложка")</f>
        <v>Обложка</v>
      </c>
      <c r="V667" s="24" t="str">
        <f>HYPERLINK("https://znanium.ru/catalog/product/2084138", "Ознакомиться")</f>
        <v>Ознакомиться</v>
      </c>
      <c r="W667" s="8" t="s">
        <v>4446</v>
      </c>
      <c r="X667" s="6"/>
      <c r="Y667" s="6" t="s">
        <v>30</v>
      </c>
      <c r="Z667" s="6" t="s">
        <v>48</v>
      </c>
      <c r="AA667" s="6" t="s">
        <v>485</v>
      </c>
      <c r="AB667" s="8"/>
    </row>
    <row r="668" spans="1:28" s="4" customFormat="1" ht="51.95" customHeight="1">
      <c r="A668" s="5">
        <v>0</v>
      </c>
      <c r="B668" s="6" t="s">
        <v>4447</v>
      </c>
      <c r="C668" s="7">
        <v>1150</v>
      </c>
      <c r="D668" s="8" t="s">
        <v>4448</v>
      </c>
      <c r="E668" s="8" t="s">
        <v>4449</v>
      </c>
      <c r="F668" s="8" t="s">
        <v>4450</v>
      </c>
      <c r="G668" s="6" t="s">
        <v>90</v>
      </c>
      <c r="H668" s="6" t="s">
        <v>54</v>
      </c>
      <c r="I668" s="8" t="s">
        <v>40</v>
      </c>
      <c r="J668" s="9">
        <v>1</v>
      </c>
      <c r="K668" s="9">
        <v>216</v>
      </c>
      <c r="L668" s="9">
        <v>2026</v>
      </c>
      <c r="M668" s="8" t="s">
        <v>4451</v>
      </c>
      <c r="N668" s="8" t="s">
        <v>42</v>
      </c>
      <c r="O668" s="8" t="s">
        <v>169</v>
      </c>
      <c r="P668" s="6" t="s">
        <v>44</v>
      </c>
      <c r="Q668" s="8" t="s">
        <v>45</v>
      </c>
      <c r="R668" s="10" t="s">
        <v>4452</v>
      </c>
      <c r="S668" s="11" t="s">
        <v>4453</v>
      </c>
      <c r="T668" s="6"/>
      <c r="U668" s="24" t="str">
        <f>HYPERLINK("https://media.infra-m.ru/2213/2213145/cover/2213145.jpg", "Обложка")</f>
        <v>Обложка</v>
      </c>
      <c r="V668" s="24" t="str">
        <f>HYPERLINK("https://znanium.ru/catalog/product/2132081", "Ознакомиться")</f>
        <v>Ознакомиться</v>
      </c>
      <c r="W668" s="8" t="s">
        <v>1152</v>
      </c>
      <c r="X668" s="6"/>
      <c r="Y668" s="6"/>
      <c r="Z668" s="6"/>
      <c r="AA668" s="6" t="s">
        <v>102</v>
      </c>
      <c r="AB668" s="8"/>
    </row>
    <row r="669" spans="1:28" s="4" customFormat="1" ht="42" customHeight="1">
      <c r="A669" s="5">
        <v>0</v>
      </c>
      <c r="B669" s="6" t="s">
        <v>4454</v>
      </c>
      <c r="C669" s="7">
        <v>1420</v>
      </c>
      <c r="D669" s="8" t="s">
        <v>4455</v>
      </c>
      <c r="E669" s="8" t="s">
        <v>4456</v>
      </c>
      <c r="F669" s="8" t="s">
        <v>4457</v>
      </c>
      <c r="G669" s="6" t="s">
        <v>90</v>
      </c>
      <c r="H669" s="6" t="s">
        <v>68</v>
      </c>
      <c r="I669" s="8" t="s">
        <v>69</v>
      </c>
      <c r="J669" s="9">
        <v>1</v>
      </c>
      <c r="K669" s="9">
        <v>283</v>
      </c>
      <c r="L669" s="9">
        <v>2025</v>
      </c>
      <c r="M669" s="8" t="s">
        <v>4458</v>
      </c>
      <c r="N669" s="8" t="s">
        <v>125</v>
      </c>
      <c r="O669" s="8" t="s">
        <v>1630</v>
      </c>
      <c r="P669" s="6" t="s">
        <v>44</v>
      </c>
      <c r="Q669" s="8" t="s">
        <v>45</v>
      </c>
      <c r="R669" s="10" t="s">
        <v>2664</v>
      </c>
      <c r="S669" s="11"/>
      <c r="T669" s="6"/>
      <c r="U669" s="24" t="str">
        <f>HYPERLINK("https://media.infra-m.ru/2187/2187729/cover/2187729.jpg", "Обложка")</f>
        <v>Обложка</v>
      </c>
      <c r="V669" s="24" t="str">
        <f>HYPERLINK("https://znanium.ru/catalog/product/2187729", "Ознакомиться")</f>
        <v>Ознакомиться</v>
      </c>
      <c r="W669" s="8" t="s">
        <v>4459</v>
      </c>
      <c r="X669" s="6"/>
      <c r="Y669" s="6"/>
      <c r="Z669" s="6" t="s">
        <v>48</v>
      </c>
      <c r="AA669" s="6" t="s">
        <v>740</v>
      </c>
      <c r="AB669" s="8"/>
    </row>
    <row r="670" spans="1:28" s="4" customFormat="1" ht="51.95" customHeight="1">
      <c r="A670" s="5">
        <v>0</v>
      </c>
      <c r="B670" s="6" t="s">
        <v>4460</v>
      </c>
      <c r="C670" s="7">
        <v>1520</v>
      </c>
      <c r="D670" s="8" t="s">
        <v>4461</v>
      </c>
      <c r="E670" s="8" t="s">
        <v>4462</v>
      </c>
      <c r="F670" s="8" t="s">
        <v>4463</v>
      </c>
      <c r="G670" s="6" t="s">
        <v>90</v>
      </c>
      <c r="H670" s="6" t="s">
        <v>54</v>
      </c>
      <c r="I670" s="8" t="s">
        <v>40</v>
      </c>
      <c r="J670" s="9">
        <v>1</v>
      </c>
      <c r="K670" s="9">
        <v>303</v>
      </c>
      <c r="L670" s="9">
        <v>2025</v>
      </c>
      <c r="M670" s="8" t="s">
        <v>4464</v>
      </c>
      <c r="N670" s="8" t="s">
        <v>42</v>
      </c>
      <c r="O670" s="8" t="s">
        <v>169</v>
      </c>
      <c r="P670" s="6" t="s">
        <v>44</v>
      </c>
      <c r="Q670" s="8" t="s">
        <v>45</v>
      </c>
      <c r="R670" s="10" t="s">
        <v>4465</v>
      </c>
      <c r="S670" s="11"/>
      <c r="T670" s="6"/>
      <c r="U670" s="24" t="str">
        <f>HYPERLINK("https://media.infra-m.ru/2165/2165322/cover/2165322.jpg", "Обложка")</f>
        <v>Обложка</v>
      </c>
      <c r="V670" s="24" t="str">
        <f>HYPERLINK("https://znanium.ru/catalog/product/2165322", "Ознакомиться")</f>
        <v>Ознакомиться</v>
      </c>
      <c r="W670" s="8" t="s">
        <v>4466</v>
      </c>
      <c r="X670" s="6"/>
      <c r="Y670" s="6"/>
      <c r="Z670" s="6"/>
      <c r="AA670" s="6" t="s">
        <v>354</v>
      </c>
      <c r="AB670" s="8" t="s">
        <v>710</v>
      </c>
    </row>
    <row r="671" spans="1:28" s="4" customFormat="1" ht="42" customHeight="1">
      <c r="A671" s="5">
        <v>0</v>
      </c>
      <c r="B671" s="6" t="s">
        <v>4467</v>
      </c>
      <c r="C671" s="13">
        <v>960</v>
      </c>
      <c r="D671" s="8" t="s">
        <v>4468</v>
      </c>
      <c r="E671" s="8" t="s">
        <v>4469</v>
      </c>
      <c r="F671" s="8" t="s">
        <v>4470</v>
      </c>
      <c r="G671" s="6" t="s">
        <v>38</v>
      </c>
      <c r="H671" s="6" t="s">
        <v>54</v>
      </c>
      <c r="I671" s="8" t="s">
        <v>40</v>
      </c>
      <c r="J671" s="9">
        <v>1</v>
      </c>
      <c r="K671" s="9">
        <v>178</v>
      </c>
      <c r="L671" s="9">
        <v>2025</v>
      </c>
      <c r="M671" s="8" t="s">
        <v>4471</v>
      </c>
      <c r="N671" s="8" t="s">
        <v>42</v>
      </c>
      <c r="O671" s="8" t="s">
        <v>169</v>
      </c>
      <c r="P671" s="6" t="s">
        <v>44</v>
      </c>
      <c r="Q671" s="8" t="s">
        <v>45</v>
      </c>
      <c r="R671" s="10" t="s">
        <v>4472</v>
      </c>
      <c r="S671" s="11"/>
      <c r="T671" s="6"/>
      <c r="U671" s="24" t="str">
        <f>HYPERLINK("https://media.infra-m.ru/1913/1913587/cover/1913587.jpg", "Обложка")</f>
        <v>Обложка</v>
      </c>
      <c r="V671" s="24" t="str">
        <f>HYPERLINK("https://znanium.ru/catalog/product/1913587", "Ознакомиться")</f>
        <v>Ознакомиться</v>
      </c>
      <c r="W671" s="8" t="s">
        <v>547</v>
      </c>
      <c r="X671" s="6"/>
      <c r="Y671" s="6"/>
      <c r="Z671" s="6"/>
      <c r="AA671" s="6" t="s">
        <v>84</v>
      </c>
      <c r="AB671" s="8" t="s">
        <v>2908</v>
      </c>
    </row>
    <row r="672" spans="1:28" s="4" customFormat="1" ht="44.1" customHeight="1">
      <c r="A672" s="5">
        <v>0</v>
      </c>
      <c r="B672" s="6" t="s">
        <v>4473</v>
      </c>
      <c r="C672" s="7">
        <v>1290</v>
      </c>
      <c r="D672" s="8" t="s">
        <v>4474</v>
      </c>
      <c r="E672" s="8" t="s">
        <v>4475</v>
      </c>
      <c r="F672" s="8" t="s">
        <v>4476</v>
      </c>
      <c r="G672" s="6" t="s">
        <v>90</v>
      </c>
      <c r="H672" s="6" t="s">
        <v>54</v>
      </c>
      <c r="I672" s="8" t="s">
        <v>40</v>
      </c>
      <c r="J672" s="9">
        <v>1</v>
      </c>
      <c r="K672" s="9">
        <v>235</v>
      </c>
      <c r="L672" s="9">
        <v>2026</v>
      </c>
      <c r="M672" s="8" t="s">
        <v>4477</v>
      </c>
      <c r="N672" s="8" t="s">
        <v>42</v>
      </c>
      <c r="O672" s="8" t="s">
        <v>187</v>
      </c>
      <c r="P672" s="6" t="s">
        <v>58</v>
      </c>
      <c r="Q672" s="8" t="s">
        <v>45</v>
      </c>
      <c r="R672" s="10" t="s">
        <v>4478</v>
      </c>
      <c r="S672" s="11"/>
      <c r="T672" s="6"/>
      <c r="U672" s="24" t="str">
        <f>HYPERLINK("https://media.infra-m.ru/2225/2225675/cover/2225675.jpg", "Обложка")</f>
        <v>Обложка</v>
      </c>
      <c r="V672" s="24" t="str">
        <f>HYPERLINK("https://znanium.ru/catalog/product/2225675", "Ознакомиться")</f>
        <v>Ознакомиться</v>
      </c>
      <c r="W672" s="8" t="s">
        <v>4459</v>
      </c>
      <c r="X672" s="6"/>
      <c r="Y672" s="6"/>
      <c r="Z672" s="6"/>
      <c r="AA672" s="6" t="s">
        <v>354</v>
      </c>
      <c r="AB672" s="8"/>
    </row>
    <row r="673" spans="1:28" s="4" customFormat="1" ht="51.95" customHeight="1">
      <c r="A673" s="5">
        <v>0</v>
      </c>
      <c r="B673" s="6" t="s">
        <v>4479</v>
      </c>
      <c r="C673" s="7">
        <v>1390</v>
      </c>
      <c r="D673" s="8" t="s">
        <v>4480</v>
      </c>
      <c r="E673" s="8" t="s">
        <v>4481</v>
      </c>
      <c r="F673" s="8" t="s">
        <v>4482</v>
      </c>
      <c r="G673" s="6" t="s">
        <v>38</v>
      </c>
      <c r="H673" s="6" t="s">
        <v>54</v>
      </c>
      <c r="I673" s="8" t="s">
        <v>40</v>
      </c>
      <c r="J673" s="9">
        <v>1</v>
      </c>
      <c r="K673" s="9">
        <v>256</v>
      </c>
      <c r="L673" s="9">
        <v>2025</v>
      </c>
      <c r="M673" s="8" t="s">
        <v>4483</v>
      </c>
      <c r="N673" s="8" t="s">
        <v>42</v>
      </c>
      <c r="O673" s="8" t="s">
        <v>243</v>
      </c>
      <c r="P673" s="6" t="s">
        <v>58</v>
      </c>
      <c r="Q673" s="8" t="s">
        <v>45</v>
      </c>
      <c r="R673" s="10" t="s">
        <v>1875</v>
      </c>
      <c r="S673" s="11"/>
      <c r="T673" s="6"/>
      <c r="U673" s="24" t="str">
        <f>HYPERLINK("https://media.infra-m.ru/1039/1039153/cover/1039153.jpg", "Обложка")</f>
        <v>Обложка</v>
      </c>
      <c r="V673" s="24" t="str">
        <f>HYPERLINK("https://znanium.ru/catalog/product/1039153", "Ознакомиться")</f>
        <v>Ознакомиться</v>
      </c>
      <c r="W673" s="8" t="s">
        <v>4484</v>
      </c>
      <c r="X673" s="6" t="s">
        <v>1019</v>
      </c>
      <c r="Y673" s="6"/>
      <c r="Z673" s="6"/>
      <c r="AA673" s="6" t="s">
        <v>84</v>
      </c>
      <c r="AB673" s="8"/>
    </row>
    <row r="674" spans="1:28" s="4" customFormat="1" ht="51.95" customHeight="1">
      <c r="A674" s="5">
        <v>0</v>
      </c>
      <c r="B674" s="6" t="s">
        <v>4485</v>
      </c>
      <c r="C674" s="7">
        <v>1634</v>
      </c>
      <c r="D674" s="8" t="s">
        <v>4486</v>
      </c>
      <c r="E674" s="8" t="s">
        <v>4487</v>
      </c>
      <c r="F674" s="8" t="s">
        <v>2245</v>
      </c>
      <c r="G674" s="6" t="s">
        <v>90</v>
      </c>
      <c r="H674" s="6" t="s">
        <v>54</v>
      </c>
      <c r="I674" s="8" t="s">
        <v>40</v>
      </c>
      <c r="J674" s="9">
        <v>1</v>
      </c>
      <c r="K674" s="9">
        <v>309</v>
      </c>
      <c r="L674" s="9">
        <v>2026</v>
      </c>
      <c r="M674" s="8" t="s">
        <v>4488</v>
      </c>
      <c r="N674" s="8" t="s">
        <v>125</v>
      </c>
      <c r="O674" s="8" t="s">
        <v>432</v>
      </c>
      <c r="P674" s="6" t="s">
        <v>44</v>
      </c>
      <c r="Q674" s="8" t="s">
        <v>45</v>
      </c>
      <c r="R674" s="10" t="s">
        <v>4489</v>
      </c>
      <c r="S674" s="11" t="s">
        <v>4490</v>
      </c>
      <c r="T674" s="6"/>
      <c r="U674" s="24" t="str">
        <f>HYPERLINK("https://media.infra-m.ru/2216/2216295/cover/2216295.jpg", "Обложка")</f>
        <v>Обложка</v>
      </c>
      <c r="V674" s="24" t="str">
        <f>HYPERLINK("https://znanium.ru/catalog/product/2215057", "Ознакомиться")</f>
        <v>Ознакомиться</v>
      </c>
      <c r="W674" s="8" t="s">
        <v>180</v>
      </c>
      <c r="X674" s="6"/>
      <c r="Y674" s="6" t="s">
        <v>30</v>
      </c>
      <c r="Z674" s="6"/>
      <c r="AA674" s="6" t="s">
        <v>223</v>
      </c>
      <c r="AB674" s="8" t="s">
        <v>869</v>
      </c>
    </row>
    <row r="675" spans="1:28" s="4" customFormat="1" ht="51.95" customHeight="1">
      <c r="A675" s="5">
        <v>0</v>
      </c>
      <c r="B675" s="6" t="s">
        <v>4491</v>
      </c>
      <c r="C675" s="7">
        <v>1590</v>
      </c>
      <c r="D675" s="8" t="s">
        <v>4492</v>
      </c>
      <c r="E675" s="8" t="s">
        <v>4493</v>
      </c>
      <c r="F675" s="8" t="s">
        <v>4494</v>
      </c>
      <c r="G675" s="6" t="s">
        <v>90</v>
      </c>
      <c r="H675" s="6" t="s">
        <v>54</v>
      </c>
      <c r="I675" s="8" t="s">
        <v>40</v>
      </c>
      <c r="J675" s="9">
        <v>1</v>
      </c>
      <c r="K675" s="9">
        <v>292</v>
      </c>
      <c r="L675" s="9">
        <v>2026</v>
      </c>
      <c r="M675" s="8" t="s">
        <v>4495</v>
      </c>
      <c r="N675" s="8" t="s">
        <v>125</v>
      </c>
      <c r="O675" s="8" t="s">
        <v>1630</v>
      </c>
      <c r="P675" s="6" t="s">
        <v>58</v>
      </c>
      <c r="Q675" s="8" t="s">
        <v>45</v>
      </c>
      <c r="R675" s="10" t="s">
        <v>4496</v>
      </c>
      <c r="S675" s="11" t="s">
        <v>4497</v>
      </c>
      <c r="T675" s="6" t="s">
        <v>118</v>
      </c>
      <c r="U675" s="24" t="str">
        <f>HYPERLINK("https://media.infra-m.ru/2218/2218365/cover/2218365.jpg", "Обложка")</f>
        <v>Обложка</v>
      </c>
      <c r="V675" s="24" t="str">
        <f>HYPERLINK("https://znanium.ru/catalog/product/2218365", "Ознакомиться")</f>
        <v>Ознакомиться</v>
      </c>
      <c r="W675" s="8" t="s">
        <v>293</v>
      </c>
      <c r="X675" s="6"/>
      <c r="Y675" s="6"/>
      <c r="Z675" s="6" t="s">
        <v>48</v>
      </c>
      <c r="AA675" s="6" t="s">
        <v>111</v>
      </c>
      <c r="AB675" s="8"/>
    </row>
    <row r="676" spans="1:28" s="4" customFormat="1" ht="51.95" customHeight="1">
      <c r="A676" s="5">
        <v>0</v>
      </c>
      <c r="B676" s="6" t="s">
        <v>4498</v>
      </c>
      <c r="C676" s="7">
        <v>1994</v>
      </c>
      <c r="D676" s="8" t="s">
        <v>4499</v>
      </c>
      <c r="E676" s="8" t="s">
        <v>4500</v>
      </c>
      <c r="F676" s="8" t="s">
        <v>4501</v>
      </c>
      <c r="G676" s="6" t="s">
        <v>90</v>
      </c>
      <c r="H676" s="6" t="s">
        <v>824</v>
      </c>
      <c r="I676" s="8" t="s">
        <v>40</v>
      </c>
      <c r="J676" s="9">
        <v>1</v>
      </c>
      <c r="K676" s="9">
        <v>384</v>
      </c>
      <c r="L676" s="9">
        <v>2026</v>
      </c>
      <c r="M676" s="8" t="s">
        <v>4502</v>
      </c>
      <c r="N676" s="8" t="s">
        <v>42</v>
      </c>
      <c r="O676" s="8" t="s">
        <v>43</v>
      </c>
      <c r="P676" s="6" t="s">
        <v>58</v>
      </c>
      <c r="Q676" s="8" t="s">
        <v>45</v>
      </c>
      <c r="R676" s="10" t="s">
        <v>4503</v>
      </c>
      <c r="S676" s="11"/>
      <c r="T676" s="6"/>
      <c r="U676" s="24" t="str">
        <f>HYPERLINK("https://media.infra-m.ru/2221/2221039/cover/2221039.jpg", "Обложка")</f>
        <v>Обложка</v>
      </c>
      <c r="V676" s="24" t="str">
        <f>HYPERLINK("https://znanium.ru/catalog/product/2096066", "Ознакомиться")</f>
        <v>Ознакомиться</v>
      </c>
      <c r="W676" s="8" t="s">
        <v>1399</v>
      </c>
      <c r="X676" s="6"/>
      <c r="Y676" s="6" t="s">
        <v>30</v>
      </c>
      <c r="Z676" s="6"/>
      <c r="AA676" s="6" t="s">
        <v>766</v>
      </c>
      <c r="AB676" s="8"/>
    </row>
    <row r="677" spans="1:28" s="4" customFormat="1" ht="51.95" customHeight="1">
      <c r="A677" s="5">
        <v>0</v>
      </c>
      <c r="B677" s="6" t="s">
        <v>4504</v>
      </c>
      <c r="C677" s="7">
        <v>1544</v>
      </c>
      <c r="D677" s="8" t="s">
        <v>4505</v>
      </c>
      <c r="E677" s="8" t="s">
        <v>4506</v>
      </c>
      <c r="F677" s="8" t="s">
        <v>462</v>
      </c>
      <c r="G677" s="6" t="s">
        <v>38</v>
      </c>
      <c r="H677" s="6" t="s">
        <v>54</v>
      </c>
      <c r="I677" s="8" t="s">
        <v>40</v>
      </c>
      <c r="J677" s="9">
        <v>1</v>
      </c>
      <c r="K677" s="9">
        <v>281</v>
      </c>
      <c r="L677" s="9">
        <v>2026</v>
      </c>
      <c r="M677" s="8" t="s">
        <v>4507</v>
      </c>
      <c r="N677" s="8" t="s">
        <v>42</v>
      </c>
      <c r="O677" s="8" t="s">
        <v>187</v>
      </c>
      <c r="P677" s="6" t="s">
        <v>58</v>
      </c>
      <c r="Q677" s="8" t="s">
        <v>45</v>
      </c>
      <c r="R677" s="10" t="s">
        <v>4508</v>
      </c>
      <c r="S677" s="11"/>
      <c r="T677" s="6"/>
      <c r="U677" s="24" t="str">
        <f>HYPERLINK("https://media.infra-m.ru/2225/2225601/cover/2225601.jpg", "Обложка")</f>
        <v>Обложка</v>
      </c>
      <c r="V677" s="24" t="str">
        <f>HYPERLINK("https://znanium.ru/catalog/product/2150768", "Ознакомиться")</f>
        <v>Ознакомиться</v>
      </c>
      <c r="W677" s="8" t="s">
        <v>466</v>
      </c>
      <c r="X677" s="6"/>
      <c r="Y677" s="6"/>
      <c r="Z677" s="6" t="s">
        <v>48</v>
      </c>
      <c r="AA677" s="6" t="s">
        <v>354</v>
      </c>
      <c r="AB677" s="8"/>
    </row>
    <row r="678" spans="1:28" s="4" customFormat="1" ht="51.95" customHeight="1">
      <c r="A678" s="5">
        <v>0</v>
      </c>
      <c r="B678" s="6" t="s">
        <v>4509</v>
      </c>
      <c r="C678" s="7">
        <v>1850</v>
      </c>
      <c r="D678" s="8" t="s">
        <v>4510</v>
      </c>
      <c r="E678" s="8" t="s">
        <v>4511</v>
      </c>
      <c r="F678" s="8" t="s">
        <v>4512</v>
      </c>
      <c r="G678" s="6" t="s">
        <v>90</v>
      </c>
      <c r="H678" s="6" t="s">
        <v>54</v>
      </c>
      <c r="I678" s="8" t="s">
        <v>40</v>
      </c>
      <c r="J678" s="9">
        <v>1</v>
      </c>
      <c r="K678" s="9">
        <v>350</v>
      </c>
      <c r="L678" s="9">
        <v>2026</v>
      </c>
      <c r="M678" s="8" t="s">
        <v>4513</v>
      </c>
      <c r="N678" s="8" t="s">
        <v>125</v>
      </c>
      <c r="O678" s="8" t="s">
        <v>126</v>
      </c>
      <c r="P678" s="6" t="s">
        <v>58</v>
      </c>
      <c r="Q678" s="8" t="s">
        <v>45</v>
      </c>
      <c r="R678" s="10" t="s">
        <v>2515</v>
      </c>
      <c r="S678" s="11" t="s">
        <v>4514</v>
      </c>
      <c r="T678" s="6"/>
      <c r="U678" s="24" t="str">
        <f>HYPERLINK("https://media.infra-m.ru/2196/2196781/cover/2196781.jpg", "Обложка")</f>
        <v>Обложка</v>
      </c>
      <c r="V678" s="24" t="str">
        <f>HYPERLINK("https://znanium.ru/catalog/product/2196781", "Ознакомиться")</f>
        <v>Ознакомиться</v>
      </c>
      <c r="W678" s="8" t="s">
        <v>2602</v>
      </c>
      <c r="X678" s="6"/>
      <c r="Y678" s="6"/>
      <c r="Z678" s="6"/>
      <c r="AA678" s="6" t="s">
        <v>443</v>
      </c>
      <c r="AB678" s="8"/>
    </row>
    <row r="679" spans="1:28" s="4" customFormat="1" ht="51.95" customHeight="1">
      <c r="A679" s="5">
        <v>0</v>
      </c>
      <c r="B679" s="6" t="s">
        <v>4515</v>
      </c>
      <c r="C679" s="7">
        <v>1030</v>
      </c>
      <c r="D679" s="8" t="s">
        <v>4516</v>
      </c>
      <c r="E679" s="8" t="s">
        <v>4517</v>
      </c>
      <c r="F679" s="8" t="s">
        <v>4518</v>
      </c>
      <c r="G679" s="6" t="s">
        <v>90</v>
      </c>
      <c r="H679" s="6" t="s">
        <v>299</v>
      </c>
      <c r="I679" s="8" t="s">
        <v>40</v>
      </c>
      <c r="J679" s="9">
        <v>1</v>
      </c>
      <c r="K679" s="9">
        <v>352</v>
      </c>
      <c r="L679" s="9">
        <v>2018</v>
      </c>
      <c r="M679" s="8" t="s">
        <v>4519</v>
      </c>
      <c r="N679" s="8" t="s">
        <v>125</v>
      </c>
      <c r="O679" s="8" t="s">
        <v>126</v>
      </c>
      <c r="P679" s="6" t="s">
        <v>58</v>
      </c>
      <c r="Q679" s="8" t="s">
        <v>45</v>
      </c>
      <c r="R679" s="10" t="s">
        <v>2515</v>
      </c>
      <c r="S679" s="11" t="s">
        <v>4520</v>
      </c>
      <c r="T679" s="6"/>
      <c r="U679" s="24" t="str">
        <f>HYPERLINK("https://media.infra-m.ru/0944/0944181/cover/944181.jpg", "Обложка")</f>
        <v>Обложка</v>
      </c>
      <c r="V679" s="24" t="str">
        <f>HYPERLINK("https://znanium.ru/catalog/product/2196781", "Ознакомиться")</f>
        <v>Ознакомиться</v>
      </c>
      <c r="W679" s="8" t="s">
        <v>2602</v>
      </c>
      <c r="X679" s="6"/>
      <c r="Y679" s="6"/>
      <c r="Z679" s="6"/>
      <c r="AA679" s="6" t="s">
        <v>1644</v>
      </c>
      <c r="AB679" s="8"/>
    </row>
    <row r="680" spans="1:28" s="4" customFormat="1" ht="51.95" customHeight="1">
      <c r="A680" s="5">
        <v>0</v>
      </c>
      <c r="B680" s="6" t="s">
        <v>4521</v>
      </c>
      <c r="C680" s="7">
        <v>2074</v>
      </c>
      <c r="D680" s="8" t="s">
        <v>4522</v>
      </c>
      <c r="E680" s="8" t="s">
        <v>4523</v>
      </c>
      <c r="F680" s="8" t="s">
        <v>4301</v>
      </c>
      <c r="G680" s="6" t="s">
        <v>90</v>
      </c>
      <c r="H680" s="6" t="s">
        <v>39</v>
      </c>
      <c r="I680" s="8" t="s">
        <v>40</v>
      </c>
      <c r="J680" s="9">
        <v>1</v>
      </c>
      <c r="K680" s="9">
        <v>399</v>
      </c>
      <c r="L680" s="9">
        <v>2026</v>
      </c>
      <c r="M680" s="8" t="s">
        <v>4524</v>
      </c>
      <c r="N680" s="8" t="s">
        <v>125</v>
      </c>
      <c r="O680" s="8" t="s">
        <v>1630</v>
      </c>
      <c r="P680" s="6" t="s">
        <v>44</v>
      </c>
      <c r="Q680" s="8" t="s">
        <v>45</v>
      </c>
      <c r="R680" s="10" t="s">
        <v>1005</v>
      </c>
      <c r="S680" s="11" t="s">
        <v>4525</v>
      </c>
      <c r="T680" s="6"/>
      <c r="U680" s="24" t="str">
        <f>HYPERLINK("https://media.infra-m.ru/2224/2224052/cover/2224052.jpg", "Обложка")</f>
        <v>Обложка</v>
      </c>
      <c r="V680" s="24" t="str">
        <f>HYPERLINK("https://znanium.ru/catalog/product/2142815", "Ознакомиться")</f>
        <v>Ознакомиться</v>
      </c>
      <c r="W680" s="8" t="s">
        <v>4304</v>
      </c>
      <c r="X680" s="6"/>
      <c r="Y680" s="6"/>
      <c r="Z680" s="6" t="s">
        <v>48</v>
      </c>
      <c r="AA680" s="6" t="s">
        <v>223</v>
      </c>
      <c r="AB680" s="8"/>
    </row>
    <row r="681" spans="1:28" s="4" customFormat="1" ht="42" customHeight="1">
      <c r="A681" s="5">
        <v>0</v>
      </c>
      <c r="B681" s="6" t="s">
        <v>4526</v>
      </c>
      <c r="C681" s="7">
        <v>1430</v>
      </c>
      <c r="D681" s="8" t="s">
        <v>4527</v>
      </c>
      <c r="E681" s="8" t="s">
        <v>4528</v>
      </c>
      <c r="F681" s="8" t="s">
        <v>4529</v>
      </c>
      <c r="G681" s="6" t="s">
        <v>38</v>
      </c>
      <c r="H681" s="6" t="s">
        <v>54</v>
      </c>
      <c r="I681" s="8" t="s">
        <v>40</v>
      </c>
      <c r="J681" s="9">
        <v>1</v>
      </c>
      <c r="K681" s="9">
        <v>278</v>
      </c>
      <c r="L681" s="9">
        <v>2025</v>
      </c>
      <c r="M681" s="8" t="s">
        <v>4530</v>
      </c>
      <c r="N681" s="8" t="s">
        <v>125</v>
      </c>
      <c r="O681" s="8" t="s">
        <v>126</v>
      </c>
      <c r="P681" s="6" t="s">
        <v>58</v>
      </c>
      <c r="Q681" s="8" t="s">
        <v>45</v>
      </c>
      <c r="R681" s="10" t="s">
        <v>4531</v>
      </c>
      <c r="S681" s="11"/>
      <c r="T681" s="6"/>
      <c r="U681" s="24" t="str">
        <f>HYPERLINK("https://media.infra-m.ru/1907/1907612/cover/1907612.jpg", "Обложка")</f>
        <v>Обложка</v>
      </c>
      <c r="V681" s="24" t="str">
        <f>HYPERLINK("https://znanium.ru/catalog/product/1907612", "Ознакомиться")</f>
        <v>Ознакомиться</v>
      </c>
      <c r="W681" s="8" t="s">
        <v>4532</v>
      </c>
      <c r="X681" s="6"/>
      <c r="Y681" s="6"/>
      <c r="Z681" s="6"/>
      <c r="AA681" s="6" t="s">
        <v>84</v>
      </c>
      <c r="AB681" s="8" t="s">
        <v>3074</v>
      </c>
    </row>
    <row r="682" spans="1:28" s="4" customFormat="1" ht="51.95" customHeight="1">
      <c r="A682" s="5">
        <v>0</v>
      </c>
      <c r="B682" s="6" t="s">
        <v>4533</v>
      </c>
      <c r="C682" s="7">
        <v>1160</v>
      </c>
      <c r="D682" s="8" t="s">
        <v>4534</v>
      </c>
      <c r="E682" s="8" t="s">
        <v>4535</v>
      </c>
      <c r="F682" s="8" t="s">
        <v>4536</v>
      </c>
      <c r="G682" s="6" t="s">
        <v>67</v>
      </c>
      <c r="H682" s="6" t="s">
        <v>824</v>
      </c>
      <c r="I682" s="8"/>
      <c r="J682" s="9">
        <v>1</v>
      </c>
      <c r="K682" s="9">
        <v>222</v>
      </c>
      <c r="L682" s="9">
        <v>2022</v>
      </c>
      <c r="M682" s="8" t="s">
        <v>4537</v>
      </c>
      <c r="N682" s="8" t="s">
        <v>535</v>
      </c>
      <c r="O682" s="8" t="s">
        <v>536</v>
      </c>
      <c r="P682" s="6" t="s">
        <v>44</v>
      </c>
      <c r="Q682" s="8" t="s">
        <v>45</v>
      </c>
      <c r="R682" s="10" t="s">
        <v>4538</v>
      </c>
      <c r="S682" s="11"/>
      <c r="T682" s="6"/>
      <c r="U682" s="24" t="str">
        <f>HYPERLINK("https://media.infra-m.ru/1947/1947397/cover/1947397.jpg", "Обложка")</f>
        <v>Обложка</v>
      </c>
      <c r="V682" s="24" t="str">
        <f>HYPERLINK("https://znanium.ru/catalog/product/912392", "Ознакомиться")</f>
        <v>Ознакомиться</v>
      </c>
      <c r="W682" s="8" t="s">
        <v>956</v>
      </c>
      <c r="X682" s="6"/>
      <c r="Y682" s="6" t="s">
        <v>30</v>
      </c>
      <c r="Z682" s="6"/>
      <c r="AA682" s="6" t="s">
        <v>696</v>
      </c>
      <c r="AB682" s="8"/>
    </row>
    <row r="683" spans="1:28" s="4" customFormat="1" ht="51.95" customHeight="1">
      <c r="A683" s="5">
        <v>0</v>
      </c>
      <c r="B683" s="6" t="s">
        <v>4539</v>
      </c>
      <c r="C683" s="13">
        <v>714</v>
      </c>
      <c r="D683" s="8" t="s">
        <v>4540</v>
      </c>
      <c r="E683" s="8" t="s">
        <v>4541</v>
      </c>
      <c r="F683" s="8" t="s">
        <v>4542</v>
      </c>
      <c r="G683" s="6" t="s">
        <v>67</v>
      </c>
      <c r="H683" s="6" t="s">
        <v>54</v>
      </c>
      <c r="I683" s="8" t="s">
        <v>40</v>
      </c>
      <c r="J683" s="9">
        <v>1</v>
      </c>
      <c r="K683" s="9">
        <v>130</v>
      </c>
      <c r="L683" s="9">
        <v>2026</v>
      </c>
      <c r="M683" s="8" t="s">
        <v>4543</v>
      </c>
      <c r="N683" s="8" t="s">
        <v>535</v>
      </c>
      <c r="O683" s="8" t="s">
        <v>856</v>
      </c>
      <c r="P683" s="6" t="s">
        <v>44</v>
      </c>
      <c r="Q683" s="8" t="s">
        <v>45</v>
      </c>
      <c r="R683" s="10" t="s">
        <v>4544</v>
      </c>
      <c r="S683" s="11" t="s">
        <v>4545</v>
      </c>
      <c r="T683" s="6"/>
      <c r="U683" s="24" t="str">
        <f>HYPERLINK("https://media.infra-m.ru/2225/2225921/cover/2225921.jpg", "Обложка")</f>
        <v>Обложка</v>
      </c>
      <c r="V683" s="24" t="str">
        <f>HYPERLINK("https://znanium.ru/catalog/product/1003203", "Ознакомиться")</f>
        <v>Ознакомиться</v>
      </c>
      <c r="W683" s="8" t="s">
        <v>2309</v>
      </c>
      <c r="X683" s="6"/>
      <c r="Y683" s="6"/>
      <c r="Z683" s="6"/>
      <c r="AA683" s="6" t="s">
        <v>740</v>
      </c>
      <c r="AB683" s="8"/>
    </row>
    <row r="684" spans="1:28" s="4" customFormat="1" ht="51.95" customHeight="1">
      <c r="A684" s="5">
        <v>0</v>
      </c>
      <c r="B684" s="6" t="s">
        <v>4546</v>
      </c>
      <c r="C684" s="7">
        <v>1070</v>
      </c>
      <c r="D684" s="8" t="s">
        <v>4547</v>
      </c>
      <c r="E684" s="8" t="s">
        <v>4548</v>
      </c>
      <c r="F684" s="8" t="s">
        <v>789</v>
      </c>
      <c r="G684" s="6" t="s">
        <v>67</v>
      </c>
      <c r="H684" s="6" t="s">
        <v>54</v>
      </c>
      <c r="I684" s="8" t="s">
        <v>40</v>
      </c>
      <c r="J684" s="9">
        <v>1</v>
      </c>
      <c r="K684" s="9">
        <v>158</v>
      </c>
      <c r="L684" s="9">
        <v>2026</v>
      </c>
      <c r="M684" s="8" t="s">
        <v>4549</v>
      </c>
      <c r="N684" s="8" t="s">
        <v>42</v>
      </c>
      <c r="O684" s="8" t="s">
        <v>169</v>
      </c>
      <c r="P684" s="6" t="s">
        <v>44</v>
      </c>
      <c r="Q684" s="8" t="s">
        <v>45</v>
      </c>
      <c r="R684" s="10" t="s">
        <v>4550</v>
      </c>
      <c r="S684" s="11" t="s">
        <v>276</v>
      </c>
      <c r="T684" s="6"/>
      <c r="U684" s="24" t="str">
        <f>HYPERLINK("https://media.infra-m.ru/2214/2214698/cover/2214698.jpg", "Обложка")</f>
        <v>Обложка</v>
      </c>
      <c r="V684" s="24" t="str">
        <f>HYPERLINK("https://znanium.ru/catalog/product/2214698", "Ознакомиться")</f>
        <v>Ознакомиться</v>
      </c>
      <c r="W684" s="8" t="s">
        <v>792</v>
      </c>
      <c r="X684" s="6"/>
      <c r="Y684" s="6"/>
      <c r="Z684" s="6"/>
      <c r="AA684" s="6" t="s">
        <v>835</v>
      </c>
      <c r="AB684" s="8"/>
    </row>
    <row r="685" spans="1:28" s="4" customFormat="1" ht="51.95" customHeight="1">
      <c r="A685" s="5">
        <v>0</v>
      </c>
      <c r="B685" s="6" t="s">
        <v>4551</v>
      </c>
      <c r="C685" s="13">
        <v>980</v>
      </c>
      <c r="D685" s="8" t="s">
        <v>4552</v>
      </c>
      <c r="E685" s="8" t="s">
        <v>4553</v>
      </c>
      <c r="F685" s="8" t="s">
        <v>4554</v>
      </c>
      <c r="G685" s="6" t="s">
        <v>90</v>
      </c>
      <c r="H685" s="6" t="s">
        <v>39</v>
      </c>
      <c r="I685" s="8" t="s">
        <v>40</v>
      </c>
      <c r="J685" s="9">
        <v>1</v>
      </c>
      <c r="K685" s="9">
        <v>208</v>
      </c>
      <c r="L685" s="9">
        <v>2024</v>
      </c>
      <c r="M685" s="8" t="s">
        <v>4555</v>
      </c>
      <c r="N685" s="8" t="s">
        <v>42</v>
      </c>
      <c r="O685" s="8" t="s">
        <v>43</v>
      </c>
      <c r="P685" s="6" t="s">
        <v>44</v>
      </c>
      <c r="Q685" s="8" t="s">
        <v>45</v>
      </c>
      <c r="R685" s="10" t="s">
        <v>4556</v>
      </c>
      <c r="S685" s="11" t="s">
        <v>4557</v>
      </c>
      <c r="T685" s="6"/>
      <c r="U685" s="24" t="str">
        <f>HYPERLINK("https://media.infra-m.ru/2138/2138953/cover/2138953.jpg", "Обложка")</f>
        <v>Обложка</v>
      </c>
      <c r="V685" s="24" t="str">
        <f>HYPERLINK("https://znanium.ru/catalog/product/2138953", "Ознакомиться")</f>
        <v>Ознакомиться</v>
      </c>
      <c r="W685" s="8" t="s">
        <v>4558</v>
      </c>
      <c r="X685" s="6"/>
      <c r="Y685" s="6"/>
      <c r="Z685" s="6"/>
      <c r="AA685" s="6" t="s">
        <v>696</v>
      </c>
      <c r="AB685" s="8"/>
    </row>
    <row r="686" spans="1:28" s="4" customFormat="1" ht="51.95" customHeight="1">
      <c r="A686" s="5">
        <v>0</v>
      </c>
      <c r="B686" s="6" t="s">
        <v>4559</v>
      </c>
      <c r="C686" s="7">
        <v>1730</v>
      </c>
      <c r="D686" s="8" t="s">
        <v>4560</v>
      </c>
      <c r="E686" s="8" t="s">
        <v>4561</v>
      </c>
      <c r="F686" s="8" t="s">
        <v>4562</v>
      </c>
      <c r="G686" s="6" t="s">
        <v>90</v>
      </c>
      <c r="H686" s="6" t="s">
        <v>54</v>
      </c>
      <c r="I686" s="8" t="s">
        <v>40</v>
      </c>
      <c r="J686" s="9">
        <v>1</v>
      </c>
      <c r="K686" s="9">
        <v>329</v>
      </c>
      <c r="L686" s="9">
        <v>2025</v>
      </c>
      <c r="M686" s="8" t="s">
        <v>4563</v>
      </c>
      <c r="N686" s="8" t="s">
        <v>42</v>
      </c>
      <c r="O686" s="8" t="s">
        <v>43</v>
      </c>
      <c r="P686" s="6" t="s">
        <v>58</v>
      </c>
      <c r="Q686" s="8" t="s">
        <v>45</v>
      </c>
      <c r="R686" s="10" t="s">
        <v>4564</v>
      </c>
      <c r="S686" s="11" t="s">
        <v>4565</v>
      </c>
      <c r="T686" s="6"/>
      <c r="U686" s="24" t="str">
        <f>HYPERLINK("https://media.infra-m.ru/2174/2174910/cover/2174910.jpg", "Обложка")</f>
        <v>Обложка</v>
      </c>
      <c r="V686" s="24" t="str">
        <f>HYPERLINK("https://znanium.ru/catalog/product/2174910", "Ознакомиться")</f>
        <v>Ознакомиться</v>
      </c>
      <c r="W686" s="8" t="s">
        <v>2309</v>
      </c>
      <c r="X686" s="6"/>
      <c r="Y686" s="6" t="s">
        <v>30</v>
      </c>
      <c r="Z686" s="6" t="s">
        <v>48</v>
      </c>
      <c r="AA686" s="6" t="s">
        <v>111</v>
      </c>
      <c r="AB686" s="8"/>
    </row>
    <row r="687" spans="1:28" s="4" customFormat="1" ht="51.95" customHeight="1">
      <c r="A687" s="5">
        <v>0</v>
      </c>
      <c r="B687" s="6" t="s">
        <v>4566</v>
      </c>
      <c r="C687" s="7">
        <v>1834</v>
      </c>
      <c r="D687" s="8" t="s">
        <v>4567</v>
      </c>
      <c r="E687" s="8" t="s">
        <v>4568</v>
      </c>
      <c r="F687" s="8" t="s">
        <v>4569</v>
      </c>
      <c r="G687" s="6" t="s">
        <v>90</v>
      </c>
      <c r="H687" s="6" t="s">
        <v>39</v>
      </c>
      <c r="I687" s="8" t="s">
        <v>40</v>
      </c>
      <c r="J687" s="9">
        <v>1</v>
      </c>
      <c r="K687" s="9">
        <v>367</v>
      </c>
      <c r="L687" s="9">
        <v>2025</v>
      </c>
      <c r="M687" s="8" t="s">
        <v>4570</v>
      </c>
      <c r="N687" s="8" t="s">
        <v>42</v>
      </c>
      <c r="O687" s="8" t="s">
        <v>319</v>
      </c>
      <c r="P687" s="6" t="s">
        <v>44</v>
      </c>
      <c r="Q687" s="8" t="s">
        <v>45</v>
      </c>
      <c r="R687" s="10" t="s">
        <v>4571</v>
      </c>
      <c r="S687" s="11" t="s">
        <v>4572</v>
      </c>
      <c r="T687" s="6"/>
      <c r="U687" s="24" t="str">
        <f>HYPERLINK("https://media.infra-m.ru/2185/2185890/cover/2185890.jpg", "Обложка")</f>
        <v>Обложка</v>
      </c>
      <c r="V687" s="24" t="str">
        <f>HYPERLINK("https://znanium.ru/catalog/product/2094513", "Ознакомиться")</f>
        <v>Ознакомиться</v>
      </c>
      <c r="W687" s="8" t="s">
        <v>413</v>
      </c>
      <c r="X687" s="6"/>
      <c r="Y687" s="6"/>
      <c r="Z687" s="6" t="s">
        <v>48</v>
      </c>
      <c r="AA687" s="6" t="s">
        <v>111</v>
      </c>
      <c r="AB687" s="8"/>
    </row>
    <row r="688" spans="1:28" s="4" customFormat="1" ht="51.95" customHeight="1">
      <c r="A688" s="5">
        <v>0</v>
      </c>
      <c r="B688" s="6" t="s">
        <v>4573</v>
      </c>
      <c r="C688" s="7">
        <v>1770</v>
      </c>
      <c r="D688" s="8" t="s">
        <v>4574</v>
      </c>
      <c r="E688" s="8" t="s">
        <v>4575</v>
      </c>
      <c r="F688" s="8" t="s">
        <v>4576</v>
      </c>
      <c r="G688" s="6" t="s">
        <v>90</v>
      </c>
      <c r="H688" s="6" t="s">
        <v>39</v>
      </c>
      <c r="I688" s="8" t="s">
        <v>40</v>
      </c>
      <c r="J688" s="9">
        <v>1</v>
      </c>
      <c r="K688" s="9">
        <v>392</v>
      </c>
      <c r="L688" s="9">
        <v>2023</v>
      </c>
      <c r="M688" s="8" t="s">
        <v>4577</v>
      </c>
      <c r="N688" s="8" t="s">
        <v>42</v>
      </c>
      <c r="O688" s="8" t="s">
        <v>43</v>
      </c>
      <c r="P688" s="6" t="s">
        <v>44</v>
      </c>
      <c r="Q688" s="8" t="s">
        <v>45</v>
      </c>
      <c r="R688" s="10" t="s">
        <v>4578</v>
      </c>
      <c r="S688" s="11" t="s">
        <v>4579</v>
      </c>
      <c r="T688" s="6"/>
      <c r="U688" s="24" t="str">
        <f>HYPERLINK("https://media.infra-m.ru/1902/1902735/cover/1902735.jpg", "Обложка")</f>
        <v>Обложка</v>
      </c>
      <c r="V688" s="24" t="str">
        <f>HYPERLINK("https://znanium.ru/catalog/product/1902735", "Ознакомиться")</f>
        <v>Ознакомиться</v>
      </c>
      <c r="W688" s="8" t="s">
        <v>4580</v>
      </c>
      <c r="X688" s="6"/>
      <c r="Y688" s="6" t="s">
        <v>30</v>
      </c>
      <c r="Z688" s="6"/>
      <c r="AA688" s="6" t="s">
        <v>766</v>
      </c>
      <c r="AB688" s="8"/>
    </row>
    <row r="689" spans="1:28" s="4" customFormat="1" ht="51.95" customHeight="1">
      <c r="A689" s="5">
        <v>0</v>
      </c>
      <c r="B689" s="6" t="s">
        <v>4581</v>
      </c>
      <c r="C689" s="7">
        <v>2990</v>
      </c>
      <c r="D689" s="8" t="s">
        <v>4582</v>
      </c>
      <c r="E689" s="8" t="s">
        <v>4583</v>
      </c>
      <c r="F689" s="8" t="s">
        <v>1314</v>
      </c>
      <c r="G689" s="6" t="s">
        <v>38</v>
      </c>
      <c r="H689" s="6" t="s">
        <v>54</v>
      </c>
      <c r="I689" s="8" t="s">
        <v>40</v>
      </c>
      <c r="J689" s="9">
        <v>1</v>
      </c>
      <c r="K689" s="9">
        <v>594</v>
      </c>
      <c r="L689" s="9">
        <v>2025</v>
      </c>
      <c r="M689" s="8" t="s">
        <v>4584</v>
      </c>
      <c r="N689" s="8" t="s">
        <v>42</v>
      </c>
      <c r="O689" s="8" t="s">
        <v>43</v>
      </c>
      <c r="P689" s="6" t="s">
        <v>44</v>
      </c>
      <c r="Q689" s="8" t="s">
        <v>45</v>
      </c>
      <c r="R689" s="10" t="s">
        <v>4578</v>
      </c>
      <c r="S689" s="11" t="s">
        <v>4585</v>
      </c>
      <c r="T689" s="6"/>
      <c r="U689" s="24" t="str">
        <f>HYPERLINK("https://media.infra-m.ru/2196/2196851/cover/2196851.jpg", "Обложка")</f>
        <v>Обложка</v>
      </c>
      <c r="V689" s="24" t="str">
        <f>HYPERLINK("https://znanium.ru/catalog/product/2196851", "Ознакомиться")</f>
        <v>Ознакомиться</v>
      </c>
      <c r="W689" s="8" t="s">
        <v>1317</v>
      </c>
      <c r="X689" s="6"/>
      <c r="Y689" s="6" t="s">
        <v>30</v>
      </c>
      <c r="Z689" s="6"/>
      <c r="AA689" s="6" t="s">
        <v>740</v>
      </c>
      <c r="AB689" s="8"/>
    </row>
    <row r="690" spans="1:28" s="4" customFormat="1" ht="42" customHeight="1">
      <c r="A690" s="5">
        <v>0</v>
      </c>
      <c r="B690" s="6" t="s">
        <v>4586</v>
      </c>
      <c r="C690" s="7">
        <v>1220</v>
      </c>
      <c r="D690" s="8" t="s">
        <v>4587</v>
      </c>
      <c r="E690" s="8" t="s">
        <v>4588</v>
      </c>
      <c r="F690" s="8" t="s">
        <v>2258</v>
      </c>
      <c r="G690" s="6" t="s">
        <v>38</v>
      </c>
      <c r="H690" s="6" t="s">
        <v>54</v>
      </c>
      <c r="I690" s="8" t="s">
        <v>40</v>
      </c>
      <c r="J690" s="9">
        <v>1</v>
      </c>
      <c r="K690" s="9">
        <v>243</v>
      </c>
      <c r="L690" s="9">
        <v>2025</v>
      </c>
      <c r="M690" s="8" t="s">
        <v>4589</v>
      </c>
      <c r="N690" s="8" t="s">
        <v>42</v>
      </c>
      <c r="O690" s="8" t="s">
        <v>43</v>
      </c>
      <c r="P690" s="6" t="s">
        <v>44</v>
      </c>
      <c r="Q690" s="8" t="s">
        <v>45</v>
      </c>
      <c r="R690" s="10" t="s">
        <v>2315</v>
      </c>
      <c r="S690" s="11"/>
      <c r="T690" s="6"/>
      <c r="U690" s="24" t="str">
        <f>HYPERLINK("https://media.infra-m.ru/1867/1867578/cover/1867578.jpg", "Обложка")</f>
        <v>Обложка</v>
      </c>
      <c r="V690" s="24" t="str">
        <f>HYPERLINK("https://znanium.ru/catalog/product/1867578", "Ознакомиться")</f>
        <v>Ознакомиться</v>
      </c>
      <c r="W690" s="8" t="s">
        <v>2261</v>
      </c>
      <c r="X690" s="6"/>
      <c r="Y690" s="6"/>
      <c r="Z690" s="6"/>
      <c r="AA690" s="6" t="s">
        <v>84</v>
      </c>
      <c r="AB690" s="8"/>
    </row>
    <row r="691" spans="1:28" s="4" customFormat="1" ht="51.95" customHeight="1">
      <c r="A691" s="5">
        <v>0</v>
      </c>
      <c r="B691" s="6" t="s">
        <v>4590</v>
      </c>
      <c r="C691" s="7">
        <v>2362</v>
      </c>
      <c r="D691" s="8" t="s">
        <v>4591</v>
      </c>
      <c r="E691" s="8" t="s">
        <v>4592</v>
      </c>
      <c r="F691" s="8" t="s">
        <v>1314</v>
      </c>
      <c r="G691" s="6" t="s">
        <v>90</v>
      </c>
      <c r="H691" s="6" t="s">
        <v>54</v>
      </c>
      <c r="I691" s="8" t="s">
        <v>40</v>
      </c>
      <c r="J691" s="9">
        <v>1</v>
      </c>
      <c r="K691" s="9">
        <v>343</v>
      </c>
      <c r="L691" s="9">
        <v>2026</v>
      </c>
      <c r="M691" s="8" t="s">
        <v>4593</v>
      </c>
      <c r="N691" s="8" t="s">
        <v>42</v>
      </c>
      <c r="O691" s="8" t="s">
        <v>43</v>
      </c>
      <c r="P691" s="6" t="s">
        <v>44</v>
      </c>
      <c r="Q691" s="8" t="s">
        <v>45</v>
      </c>
      <c r="R691" s="10" t="s">
        <v>419</v>
      </c>
      <c r="S691" s="11" t="s">
        <v>1323</v>
      </c>
      <c r="T691" s="6"/>
      <c r="U691" s="24" t="str">
        <f>HYPERLINK("https://media.infra-m.ru/2216/2216924/cover/2216924.jpg", "Обложка")</f>
        <v>Обложка</v>
      </c>
      <c r="V691" s="24" t="str">
        <f>HYPERLINK("https://znanium.ru/catalog/product/2216924", "Ознакомиться")</f>
        <v>Ознакомиться</v>
      </c>
      <c r="W691" s="8" t="s">
        <v>1317</v>
      </c>
      <c r="X691" s="6"/>
      <c r="Y691" s="6" t="s">
        <v>30</v>
      </c>
      <c r="Z691" s="6" t="s">
        <v>48</v>
      </c>
      <c r="AA691" s="6" t="s">
        <v>129</v>
      </c>
      <c r="AB691" s="8"/>
    </row>
    <row r="692" spans="1:28" s="4" customFormat="1" ht="51.95" customHeight="1">
      <c r="A692" s="5">
        <v>0</v>
      </c>
      <c r="B692" s="6" t="s">
        <v>4594</v>
      </c>
      <c r="C692" s="7">
        <v>2164</v>
      </c>
      <c r="D692" s="8" t="s">
        <v>4595</v>
      </c>
      <c r="E692" s="8" t="s">
        <v>4596</v>
      </c>
      <c r="F692" s="8" t="s">
        <v>4597</v>
      </c>
      <c r="G692" s="6" t="s">
        <v>90</v>
      </c>
      <c r="H692" s="6" t="s">
        <v>299</v>
      </c>
      <c r="I692" s="8" t="s">
        <v>40</v>
      </c>
      <c r="J692" s="9">
        <v>1</v>
      </c>
      <c r="K692" s="9">
        <v>414</v>
      </c>
      <c r="L692" s="9">
        <v>2026</v>
      </c>
      <c r="M692" s="8" t="s">
        <v>4598</v>
      </c>
      <c r="N692" s="8" t="s">
        <v>42</v>
      </c>
      <c r="O692" s="8" t="s">
        <v>43</v>
      </c>
      <c r="P692" s="6" t="s">
        <v>44</v>
      </c>
      <c r="Q692" s="8" t="s">
        <v>45</v>
      </c>
      <c r="R692" s="10" t="s">
        <v>4599</v>
      </c>
      <c r="S692" s="11" t="s">
        <v>4600</v>
      </c>
      <c r="T692" s="6"/>
      <c r="U692" s="24" t="str">
        <f>HYPERLINK("https://media.infra-m.ru/2216/2216843/cover/2216843.jpg", "Обложка")</f>
        <v>Обложка</v>
      </c>
      <c r="V692" s="24" t="str">
        <f>HYPERLINK("https://znanium.ru/catalog/product/2207916", "Ознакомиться")</f>
        <v>Ознакомиться</v>
      </c>
      <c r="W692" s="8" t="s">
        <v>834</v>
      </c>
      <c r="X692" s="6"/>
      <c r="Y692" s="6" t="s">
        <v>30</v>
      </c>
      <c r="Z692" s="6"/>
      <c r="AA692" s="6" t="s">
        <v>237</v>
      </c>
      <c r="AB692" s="8"/>
    </row>
    <row r="693" spans="1:28" s="4" customFormat="1" ht="51.95" customHeight="1">
      <c r="A693" s="5">
        <v>0</v>
      </c>
      <c r="B693" s="6" t="s">
        <v>4601</v>
      </c>
      <c r="C693" s="7">
        <v>2250</v>
      </c>
      <c r="D693" s="8" t="s">
        <v>4602</v>
      </c>
      <c r="E693" s="8" t="s">
        <v>4603</v>
      </c>
      <c r="F693" s="8" t="s">
        <v>4604</v>
      </c>
      <c r="G693" s="6" t="s">
        <v>38</v>
      </c>
      <c r="H693" s="6" t="s">
        <v>54</v>
      </c>
      <c r="I693" s="8" t="s">
        <v>40</v>
      </c>
      <c r="J693" s="9">
        <v>1</v>
      </c>
      <c r="K693" s="9">
        <v>431</v>
      </c>
      <c r="L693" s="9">
        <v>2026</v>
      </c>
      <c r="M693" s="8" t="s">
        <v>4605</v>
      </c>
      <c r="N693" s="8" t="s">
        <v>42</v>
      </c>
      <c r="O693" s="8" t="s">
        <v>43</v>
      </c>
      <c r="P693" s="6" t="s">
        <v>44</v>
      </c>
      <c r="Q693" s="8" t="s">
        <v>45</v>
      </c>
      <c r="R693" s="10" t="s">
        <v>4606</v>
      </c>
      <c r="S693" s="11" t="s">
        <v>4607</v>
      </c>
      <c r="T693" s="6"/>
      <c r="U693" s="24" t="str">
        <f>HYPERLINK("https://media.infra-m.ru/2222/2222607/cover/2222607.jpg", "Обложка")</f>
        <v>Обложка</v>
      </c>
      <c r="V693" s="24" t="str">
        <f>HYPERLINK("https://znanium.ru/catalog/product/2222607", "Ознакомиться")</f>
        <v>Ознакомиться</v>
      </c>
      <c r="W693" s="8" t="s">
        <v>818</v>
      </c>
      <c r="X693" s="6"/>
      <c r="Y693" s="6" t="s">
        <v>30</v>
      </c>
      <c r="Z693" s="6"/>
      <c r="AA693" s="6" t="s">
        <v>95</v>
      </c>
      <c r="AB693" s="8"/>
    </row>
    <row r="694" spans="1:28" s="4" customFormat="1" ht="42" customHeight="1">
      <c r="A694" s="5">
        <v>0</v>
      </c>
      <c r="B694" s="6" t="s">
        <v>4608</v>
      </c>
      <c r="C694" s="7">
        <v>1574</v>
      </c>
      <c r="D694" s="8" t="s">
        <v>4609</v>
      </c>
      <c r="E694" s="8" t="s">
        <v>4610</v>
      </c>
      <c r="F694" s="8" t="s">
        <v>4611</v>
      </c>
      <c r="G694" s="6" t="s">
        <v>90</v>
      </c>
      <c r="H694" s="6" t="s">
        <v>54</v>
      </c>
      <c r="I694" s="8" t="s">
        <v>40</v>
      </c>
      <c r="J694" s="9">
        <v>1</v>
      </c>
      <c r="K694" s="9">
        <v>314</v>
      </c>
      <c r="L694" s="9">
        <v>2025</v>
      </c>
      <c r="M694" s="8" t="s">
        <v>4612</v>
      </c>
      <c r="N694" s="8" t="s">
        <v>125</v>
      </c>
      <c r="O694" s="8" t="s">
        <v>432</v>
      </c>
      <c r="P694" s="6" t="s">
        <v>58</v>
      </c>
      <c r="Q694" s="8" t="s">
        <v>45</v>
      </c>
      <c r="R694" s="10" t="s">
        <v>908</v>
      </c>
      <c r="S694" s="11"/>
      <c r="T694" s="6"/>
      <c r="U694" s="24" t="str">
        <f>HYPERLINK("https://media.infra-m.ru/2163/2163827/cover/2163827.jpg", "Обложка")</f>
        <v>Обложка</v>
      </c>
      <c r="V694" s="24" t="str">
        <f>HYPERLINK("https://znanium.ru/catalog/product/2163215", "Ознакомиться")</f>
        <v>Ознакомиться</v>
      </c>
      <c r="W694" s="8" t="s">
        <v>73</v>
      </c>
      <c r="X694" s="6"/>
      <c r="Y694" s="6"/>
      <c r="Z694" s="6"/>
      <c r="AA694" s="6" t="s">
        <v>354</v>
      </c>
      <c r="AB694" s="8" t="s">
        <v>3074</v>
      </c>
    </row>
    <row r="695" spans="1:28" s="4" customFormat="1" ht="42" customHeight="1">
      <c r="A695" s="5">
        <v>0</v>
      </c>
      <c r="B695" s="6" t="s">
        <v>4613</v>
      </c>
      <c r="C695" s="7">
        <v>1450</v>
      </c>
      <c r="D695" s="8" t="s">
        <v>4614</v>
      </c>
      <c r="E695" s="8" t="s">
        <v>4615</v>
      </c>
      <c r="F695" s="8" t="s">
        <v>4616</v>
      </c>
      <c r="G695" s="6" t="s">
        <v>38</v>
      </c>
      <c r="H695" s="6" t="s">
        <v>54</v>
      </c>
      <c r="I695" s="8" t="s">
        <v>40</v>
      </c>
      <c r="J695" s="9">
        <v>1</v>
      </c>
      <c r="K695" s="9">
        <v>306</v>
      </c>
      <c r="L695" s="9">
        <v>2024</v>
      </c>
      <c r="M695" s="8" t="s">
        <v>4617</v>
      </c>
      <c r="N695" s="8" t="s">
        <v>125</v>
      </c>
      <c r="O695" s="8" t="s">
        <v>432</v>
      </c>
      <c r="P695" s="6" t="s">
        <v>58</v>
      </c>
      <c r="Q695" s="8" t="s">
        <v>45</v>
      </c>
      <c r="R695" s="10" t="s">
        <v>908</v>
      </c>
      <c r="S695" s="11"/>
      <c r="T695" s="6"/>
      <c r="U695" s="24" t="str">
        <f>HYPERLINK("https://media.infra-m.ru/1915/1915793/cover/1915793.jpg", "Обложка")</f>
        <v>Обложка</v>
      </c>
      <c r="V695" s="24" t="str">
        <f>HYPERLINK("https://znanium.ru/catalog/product/1915793", "Ознакомиться")</f>
        <v>Ознакомиться</v>
      </c>
      <c r="W695" s="8" t="s">
        <v>4618</v>
      </c>
      <c r="X695" s="6"/>
      <c r="Y695" s="6"/>
      <c r="Z695" s="6"/>
      <c r="AA695" s="6" t="s">
        <v>354</v>
      </c>
      <c r="AB695" s="8" t="s">
        <v>3074</v>
      </c>
    </row>
    <row r="696" spans="1:28" s="4" customFormat="1" ht="51.95" customHeight="1">
      <c r="A696" s="5">
        <v>0</v>
      </c>
      <c r="B696" s="6" t="s">
        <v>4619</v>
      </c>
      <c r="C696" s="7">
        <v>1374</v>
      </c>
      <c r="D696" s="8" t="s">
        <v>4620</v>
      </c>
      <c r="E696" s="8" t="s">
        <v>4621</v>
      </c>
      <c r="F696" s="8" t="s">
        <v>4622</v>
      </c>
      <c r="G696" s="6" t="s">
        <v>90</v>
      </c>
      <c r="H696" s="6" t="s">
        <v>54</v>
      </c>
      <c r="I696" s="8" t="s">
        <v>40</v>
      </c>
      <c r="J696" s="9">
        <v>1</v>
      </c>
      <c r="K696" s="9">
        <v>265</v>
      </c>
      <c r="L696" s="9">
        <v>2026</v>
      </c>
      <c r="M696" s="8" t="s">
        <v>4623</v>
      </c>
      <c r="N696" s="8" t="s">
        <v>125</v>
      </c>
      <c r="O696" s="8" t="s">
        <v>432</v>
      </c>
      <c r="P696" s="6" t="s">
        <v>58</v>
      </c>
      <c r="Q696" s="8" t="s">
        <v>45</v>
      </c>
      <c r="R696" s="10" t="s">
        <v>4624</v>
      </c>
      <c r="S696" s="11" t="s">
        <v>4625</v>
      </c>
      <c r="T696" s="6"/>
      <c r="U696" s="24" t="str">
        <f>HYPERLINK("https://media.infra-m.ru/2222/2222972/cover/2222972.jpg", "Обложка")</f>
        <v>Обложка</v>
      </c>
      <c r="V696" s="24" t="str">
        <f>HYPERLINK("https://znanium.ru/catalog/product/2166765", "Ознакомиться")</f>
        <v>Ознакомиться</v>
      </c>
      <c r="W696" s="8" t="s">
        <v>2180</v>
      </c>
      <c r="X696" s="6"/>
      <c r="Y696" s="6"/>
      <c r="Z696" s="6"/>
      <c r="AA696" s="6" t="s">
        <v>102</v>
      </c>
      <c r="AB696" s="8" t="s">
        <v>648</v>
      </c>
    </row>
    <row r="697" spans="1:28" s="4" customFormat="1" ht="51.95" customHeight="1">
      <c r="A697" s="5">
        <v>0</v>
      </c>
      <c r="B697" s="6" t="s">
        <v>4626</v>
      </c>
      <c r="C697" s="7">
        <v>1220</v>
      </c>
      <c r="D697" s="8" t="s">
        <v>4627</v>
      </c>
      <c r="E697" s="8" t="s">
        <v>4621</v>
      </c>
      <c r="F697" s="8" t="s">
        <v>4628</v>
      </c>
      <c r="G697" s="6" t="s">
        <v>90</v>
      </c>
      <c r="H697" s="6" t="s">
        <v>54</v>
      </c>
      <c r="I697" s="8" t="s">
        <v>40</v>
      </c>
      <c r="J697" s="9">
        <v>1</v>
      </c>
      <c r="K697" s="9">
        <v>220</v>
      </c>
      <c r="L697" s="9">
        <v>2026</v>
      </c>
      <c r="M697" s="8" t="s">
        <v>4629</v>
      </c>
      <c r="N697" s="8" t="s">
        <v>125</v>
      </c>
      <c r="O697" s="8" t="s">
        <v>432</v>
      </c>
      <c r="P697" s="6" t="s">
        <v>44</v>
      </c>
      <c r="Q697" s="8" t="s">
        <v>45</v>
      </c>
      <c r="R697" s="10" t="s">
        <v>908</v>
      </c>
      <c r="S697" s="11" t="s">
        <v>4630</v>
      </c>
      <c r="T697" s="6"/>
      <c r="U697" s="24" t="str">
        <f>HYPERLINK("https://media.infra-m.ru/2206/2206249/cover/2206249.jpg", "Обложка")</f>
        <v>Обложка</v>
      </c>
      <c r="V697" s="24" t="str">
        <f>HYPERLINK("https://znanium.ru/catalog/product/2206249", "Ознакомиться")</f>
        <v>Ознакомиться</v>
      </c>
      <c r="W697" s="8" t="s">
        <v>1139</v>
      </c>
      <c r="X697" s="6"/>
      <c r="Y697" s="6"/>
      <c r="Z697" s="6"/>
      <c r="AA697" s="6" t="s">
        <v>102</v>
      </c>
      <c r="AB697" s="8" t="s">
        <v>759</v>
      </c>
    </row>
    <row r="698" spans="1:28" s="4" customFormat="1" ht="51.95" customHeight="1">
      <c r="A698" s="5">
        <v>0</v>
      </c>
      <c r="B698" s="6" t="s">
        <v>4631</v>
      </c>
      <c r="C698" s="7">
        <v>1540</v>
      </c>
      <c r="D698" s="8" t="s">
        <v>4632</v>
      </c>
      <c r="E698" s="8" t="s">
        <v>4633</v>
      </c>
      <c r="F698" s="8" t="s">
        <v>4634</v>
      </c>
      <c r="G698" s="6" t="s">
        <v>90</v>
      </c>
      <c r="H698" s="6" t="s">
        <v>68</v>
      </c>
      <c r="I698" s="8" t="s">
        <v>69</v>
      </c>
      <c r="J698" s="9">
        <v>1</v>
      </c>
      <c r="K698" s="9">
        <v>296</v>
      </c>
      <c r="L698" s="9">
        <v>2025</v>
      </c>
      <c r="M698" s="8" t="s">
        <v>4635</v>
      </c>
      <c r="N698" s="8" t="s">
        <v>56</v>
      </c>
      <c r="O698" s="8" t="s">
        <v>807</v>
      </c>
      <c r="P698" s="6" t="s">
        <v>58</v>
      </c>
      <c r="Q698" s="8" t="s">
        <v>45</v>
      </c>
      <c r="R698" s="10" t="s">
        <v>4636</v>
      </c>
      <c r="S698" s="11"/>
      <c r="T698" s="6"/>
      <c r="U698" s="24" t="str">
        <f>HYPERLINK("https://media.infra-m.ru/2187/2187628/cover/2187628.jpg", "Обложка")</f>
        <v>Обложка</v>
      </c>
      <c r="V698" s="24" t="str">
        <f>HYPERLINK("https://znanium.ru/catalog/product/2187628", "Ознакомиться")</f>
        <v>Ознакомиться</v>
      </c>
      <c r="W698" s="8" t="s">
        <v>4637</v>
      </c>
      <c r="X698" s="6"/>
      <c r="Y698" s="6"/>
      <c r="Z698" s="6" t="s">
        <v>48</v>
      </c>
      <c r="AA698" s="6" t="s">
        <v>740</v>
      </c>
      <c r="AB698" s="8"/>
    </row>
    <row r="699" spans="1:28" s="4" customFormat="1" ht="51.95" customHeight="1">
      <c r="A699" s="5">
        <v>0</v>
      </c>
      <c r="B699" s="6" t="s">
        <v>4638</v>
      </c>
      <c r="C699" s="7">
        <v>1294</v>
      </c>
      <c r="D699" s="8" t="s">
        <v>4639</v>
      </c>
      <c r="E699" s="8" t="s">
        <v>4640</v>
      </c>
      <c r="F699" s="8" t="s">
        <v>4641</v>
      </c>
      <c r="G699" s="6" t="s">
        <v>90</v>
      </c>
      <c r="H699" s="6" t="s">
        <v>824</v>
      </c>
      <c r="I699" s="8"/>
      <c r="J699" s="9">
        <v>1</v>
      </c>
      <c r="K699" s="9">
        <v>288</v>
      </c>
      <c r="L699" s="9">
        <v>2023</v>
      </c>
      <c r="M699" s="8" t="s">
        <v>4642</v>
      </c>
      <c r="N699" s="8" t="s">
        <v>42</v>
      </c>
      <c r="O699" s="8" t="s">
        <v>43</v>
      </c>
      <c r="P699" s="6" t="s">
        <v>58</v>
      </c>
      <c r="Q699" s="8" t="s">
        <v>45</v>
      </c>
      <c r="R699" s="10" t="s">
        <v>4643</v>
      </c>
      <c r="S699" s="11"/>
      <c r="T699" s="6"/>
      <c r="U699" s="24" t="str">
        <f>HYPERLINK("https://media.infra-m.ru/2006/2006039/cover/2006039.jpg", "Обложка")</f>
        <v>Обложка</v>
      </c>
      <c r="V699" s="24" t="str">
        <f>HYPERLINK("https://znanium.ru/catalog/product/1460280", "Ознакомиться")</f>
        <v>Ознакомиться</v>
      </c>
      <c r="W699" s="8" t="s">
        <v>827</v>
      </c>
      <c r="X699" s="6"/>
      <c r="Y699" s="6"/>
      <c r="Z699" s="6"/>
      <c r="AA699" s="6" t="s">
        <v>766</v>
      </c>
      <c r="AB699" s="8"/>
    </row>
    <row r="700" spans="1:28" s="4" customFormat="1" ht="51.95" customHeight="1">
      <c r="A700" s="5">
        <v>0</v>
      </c>
      <c r="B700" s="6" t="s">
        <v>4644</v>
      </c>
      <c r="C700" s="13">
        <v>820</v>
      </c>
      <c r="D700" s="8" t="s">
        <v>4645</v>
      </c>
      <c r="E700" s="8" t="s">
        <v>4646</v>
      </c>
      <c r="F700" s="8" t="s">
        <v>4288</v>
      </c>
      <c r="G700" s="6" t="s">
        <v>90</v>
      </c>
      <c r="H700" s="6" t="s">
        <v>54</v>
      </c>
      <c r="I700" s="8" t="s">
        <v>40</v>
      </c>
      <c r="J700" s="9">
        <v>1</v>
      </c>
      <c r="K700" s="9">
        <v>183</v>
      </c>
      <c r="L700" s="9">
        <v>2023</v>
      </c>
      <c r="M700" s="8" t="s">
        <v>4647</v>
      </c>
      <c r="N700" s="8" t="s">
        <v>125</v>
      </c>
      <c r="O700" s="8" t="s">
        <v>432</v>
      </c>
      <c r="P700" s="6" t="s">
        <v>58</v>
      </c>
      <c r="Q700" s="8" t="s">
        <v>45</v>
      </c>
      <c r="R700" s="10" t="s">
        <v>585</v>
      </c>
      <c r="S700" s="11" t="s">
        <v>4648</v>
      </c>
      <c r="T700" s="6" t="s">
        <v>118</v>
      </c>
      <c r="U700" s="24" t="str">
        <f>HYPERLINK("https://media.infra-m.ru/1965/1965770/cover/1965770.jpg", "Обложка")</f>
        <v>Обложка</v>
      </c>
      <c r="V700" s="24" t="str">
        <f>HYPERLINK("https://znanium.ru/catalog/product/1965770", "Ознакомиться")</f>
        <v>Ознакомиться</v>
      </c>
      <c r="W700" s="8" t="s">
        <v>909</v>
      </c>
      <c r="X700" s="6"/>
      <c r="Y700" s="6"/>
      <c r="Z700" s="6"/>
      <c r="AA700" s="6" t="s">
        <v>740</v>
      </c>
      <c r="AB700" s="8"/>
    </row>
    <row r="701" spans="1:28" s="4" customFormat="1" ht="51.95" customHeight="1">
      <c r="A701" s="5">
        <v>0</v>
      </c>
      <c r="B701" s="6" t="s">
        <v>4649</v>
      </c>
      <c r="C701" s="7">
        <v>1444</v>
      </c>
      <c r="D701" s="8" t="s">
        <v>4650</v>
      </c>
      <c r="E701" s="8" t="s">
        <v>4651</v>
      </c>
      <c r="F701" s="8" t="s">
        <v>3112</v>
      </c>
      <c r="G701" s="6" t="s">
        <v>38</v>
      </c>
      <c r="H701" s="6" t="s">
        <v>39</v>
      </c>
      <c r="I701" s="8" t="s">
        <v>69</v>
      </c>
      <c r="J701" s="9">
        <v>1</v>
      </c>
      <c r="K701" s="9">
        <v>288</v>
      </c>
      <c r="L701" s="9">
        <v>2025</v>
      </c>
      <c r="M701" s="8" t="s">
        <v>4652</v>
      </c>
      <c r="N701" s="8" t="s">
        <v>125</v>
      </c>
      <c r="O701" s="8" t="s">
        <v>432</v>
      </c>
      <c r="P701" s="6" t="s">
        <v>58</v>
      </c>
      <c r="Q701" s="8" t="s">
        <v>45</v>
      </c>
      <c r="R701" s="10" t="s">
        <v>585</v>
      </c>
      <c r="S701" s="11" t="s">
        <v>4653</v>
      </c>
      <c r="T701" s="6"/>
      <c r="U701" s="24" t="str">
        <f>HYPERLINK("https://media.infra-m.ru/2184/2184881/cover/2184881.jpg", "Обложка")</f>
        <v>Обложка</v>
      </c>
      <c r="V701" s="12"/>
      <c r="W701" s="8" t="s">
        <v>73</v>
      </c>
      <c r="X701" s="6"/>
      <c r="Y701" s="6"/>
      <c r="Z701" s="6"/>
      <c r="AA701" s="6" t="s">
        <v>313</v>
      </c>
      <c r="AB701" s="8"/>
    </row>
    <row r="702" spans="1:28" s="4" customFormat="1" ht="51.95" customHeight="1">
      <c r="A702" s="5">
        <v>0</v>
      </c>
      <c r="B702" s="6" t="s">
        <v>4654</v>
      </c>
      <c r="C702" s="7">
        <v>1494</v>
      </c>
      <c r="D702" s="8" t="s">
        <v>4655</v>
      </c>
      <c r="E702" s="8" t="s">
        <v>4651</v>
      </c>
      <c r="F702" s="8" t="s">
        <v>4656</v>
      </c>
      <c r="G702" s="6" t="s">
        <v>90</v>
      </c>
      <c r="H702" s="6" t="s">
        <v>299</v>
      </c>
      <c r="I702" s="8" t="s">
        <v>69</v>
      </c>
      <c r="J702" s="9">
        <v>1</v>
      </c>
      <c r="K702" s="9">
        <v>288</v>
      </c>
      <c r="L702" s="9">
        <v>2026</v>
      </c>
      <c r="M702" s="8" t="s">
        <v>4657</v>
      </c>
      <c r="N702" s="8" t="s">
        <v>125</v>
      </c>
      <c r="O702" s="8" t="s">
        <v>432</v>
      </c>
      <c r="P702" s="6" t="s">
        <v>58</v>
      </c>
      <c r="Q702" s="8" t="s">
        <v>45</v>
      </c>
      <c r="R702" s="10" t="s">
        <v>4658</v>
      </c>
      <c r="S702" s="11" t="s">
        <v>970</v>
      </c>
      <c r="T702" s="6"/>
      <c r="U702" s="24" t="str">
        <f>HYPERLINK("https://media.infra-m.ru/2222/2222245/cover/2222245.jpg", "Обложка")</f>
        <v>Обложка</v>
      </c>
      <c r="V702" s="24" t="str">
        <f>HYPERLINK("https://znanium.ru/catalog/product/2123894", "Ознакомиться")</f>
        <v>Ознакомиться</v>
      </c>
      <c r="W702" s="8" t="s">
        <v>82</v>
      </c>
      <c r="X702" s="6"/>
      <c r="Y702" s="6"/>
      <c r="Z702" s="6"/>
      <c r="AA702" s="6" t="s">
        <v>810</v>
      </c>
      <c r="AB702" s="8"/>
    </row>
    <row r="703" spans="1:28" s="4" customFormat="1" ht="51.95" customHeight="1">
      <c r="A703" s="5">
        <v>0</v>
      </c>
      <c r="B703" s="6" t="s">
        <v>4659</v>
      </c>
      <c r="C703" s="7">
        <v>1994</v>
      </c>
      <c r="D703" s="8" t="s">
        <v>4660</v>
      </c>
      <c r="E703" s="8" t="s">
        <v>4661</v>
      </c>
      <c r="F703" s="8" t="s">
        <v>4662</v>
      </c>
      <c r="G703" s="6" t="s">
        <v>38</v>
      </c>
      <c r="H703" s="6" t="s">
        <v>982</v>
      </c>
      <c r="I703" s="8" t="s">
        <v>983</v>
      </c>
      <c r="J703" s="9">
        <v>1</v>
      </c>
      <c r="K703" s="9">
        <v>446</v>
      </c>
      <c r="L703" s="9">
        <v>2024</v>
      </c>
      <c r="M703" s="8" t="s">
        <v>4663</v>
      </c>
      <c r="N703" s="8" t="s">
        <v>125</v>
      </c>
      <c r="O703" s="8" t="s">
        <v>432</v>
      </c>
      <c r="P703" s="6" t="s">
        <v>44</v>
      </c>
      <c r="Q703" s="8" t="s">
        <v>45</v>
      </c>
      <c r="R703" s="10" t="s">
        <v>4658</v>
      </c>
      <c r="S703" s="11" t="s">
        <v>986</v>
      </c>
      <c r="T703" s="6"/>
      <c r="U703" s="24" t="str">
        <f>HYPERLINK("https://media.infra-m.ru/2056/2056803/cover/2056803.jpg", "Обложка")</f>
        <v>Обложка</v>
      </c>
      <c r="V703" s="24" t="str">
        <f>HYPERLINK("https://znanium.ru/catalog/product/1834708", "Ознакомиться")</f>
        <v>Ознакомиться</v>
      </c>
      <c r="W703" s="8" t="s">
        <v>987</v>
      </c>
      <c r="X703" s="6"/>
      <c r="Y703" s="6"/>
      <c r="Z703" s="6"/>
      <c r="AA703" s="6" t="s">
        <v>304</v>
      </c>
      <c r="AB703" s="8"/>
    </row>
    <row r="704" spans="1:28" s="4" customFormat="1" ht="51.95" customHeight="1">
      <c r="A704" s="5">
        <v>0</v>
      </c>
      <c r="B704" s="6" t="s">
        <v>4664</v>
      </c>
      <c r="C704" s="13">
        <v>780</v>
      </c>
      <c r="D704" s="8" t="s">
        <v>4665</v>
      </c>
      <c r="E704" s="8" t="s">
        <v>4666</v>
      </c>
      <c r="F704" s="8" t="s">
        <v>4667</v>
      </c>
      <c r="G704" s="6" t="s">
        <v>67</v>
      </c>
      <c r="H704" s="6" t="s">
        <v>54</v>
      </c>
      <c r="I704" s="8" t="s">
        <v>40</v>
      </c>
      <c r="J704" s="9">
        <v>1</v>
      </c>
      <c r="K704" s="9">
        <v>141</v>
      </c>
      <c r="L704" s="9">
        <v>2026</v>
      </c>
      <c r="M704" s="8" t="s">
        <v>4668</v>
      </c>
      <c r="N704" s="8" t="s">
        <v>56</v>
      </c>
      <c r="O704" s="8" t="s">
        <v>807</v>
      </c>
      <c r="P704" s="6" t="s">
        <v>44</v>
      </c>
      <c r="Q704" s="8" t="s">
        <v>45</v>
      </c>
      <c r="R704" s="10" t="s">
        <v>4669</v>
      </c>
      <c r="S704" s="11" t="s">
        <v>4670</v>
      </c>
      <c r="T704" s="6"/>
      <c r="U704" s="24" t="str">
        <f>HYPERLINK("https://media.infra-m.ru/2224/2224063/cover/2224063.jpg", "Обложка")</f>
        <v>Обложка</v>
      </c>
      <c r="V704" s="24" t="str">
        <f>HYPERLINK("https://znanium.ru/catalog/product/2224063", "Ознакомиться")</f>
        <v>Ознакомиться</v>
      </c>
      <c r="W704" s="8" t="s">
        <v>3814</v>
      </c>
      <c r="X704" s="6"/>
      <c r="Y704" s="6"/>
      <c r="Z704" s="6" t="s">
        <v>48</v>
      </c>
      <c r="AA704" s="6" t="s">
        <v>111</v>
      </c>
      <c r="AB704" s="8"/>
    </row>
    <row r="705" spans="1:28" s="4" customFormat="1" ht="51.95" customHeight="1">
      <c r="A705" s="5">
        <v>0</v>
      </c>
      <c r="B705" s="6" t="s">
        <v>4671</v>
      </c>
      <c r="C705" s="7">
        <v>1494</v>
      </c>
      <c r="D705" s="8" t="s">
        <v>4672</v>
      </c>
      <c r="E705" s="8" t="s">
        <v>4673</v>
      </c>
      <c r="F705" s="8" t="s">
        <v>4674</v>
      </c>
      <c r="G705" s="6" t="s">
        <v>38</v>
      </c>
      <c r="H705" s="6" t="s">
        <v>54</v>
      </c>
      <c r="I705" s="8" t="s">
        <v>568</v>
      </c>
      <c r="J705" s="9">
        <v>1</v>
      </c>
      <c r="K705" s="9">
        <v>287</v>
      </c>
      <c r="L705" s="9">
        <v>2026</v>
      </c>
      <c r="M705" s="8" t="s">
        <v>4675</v>
      </c>
      <c r="N705" s="8" t="s">
        <v>535</v>
      </c>
      <c r="O705" s="8" t="s">
        <v>1033</v>
      </c>
      <c r="P705" s="6" t="s">
        <v>44</v>
      </c>
      <c r="Q705" s="8" t="s">
        <v>45</v>
      </c>
      <c r="R705" s="10" t="s">
        <v>1982</v>
      </c>
      <c r="S705" s="11" t="s">
        <v>4676</v>
      </c>
      <c r="T705" s="6"/>
      <c r="U705" s="24" t="str">
        <f>HYPERLINK("https://media.infra-m.ru/2215/2215966/cover/2215966.jpg", "Обложка")</f>
        <v>Обложка</v>
      </c>
      <c r="V705" s="24" t="str">
        <f>HYPERLINK("https://znanium.ru/catalog/product/1911603", "Ознакомиться")</f>
        <v>Ознакомиться</v>
      </c>
      <c r="W705" s="8" t="s">
        <v>1180</v>
      </c>
      <c r="X705" s="6"/>
      <c r="Y705" s="6"/>
      <c r="Z705" s="6"/>
      <c r="AA705" s="6" t="s">
        <v>102</v>
      </c>
      <c r="AB705" s="8"/>
    </row>
    <row r="706" spans="1:28" s="4" customFormat="1" ht="51.95" customHeight="1">
      <c r="A706" s="5">
        <v>0</v>
      </c>
      <c r="B706" s="6" t="s">
        <v>4677</v>
      </c>
      <c r="C706" s="7">
        <v>1480</v>
      </c>
      <c r="D706" s="8" t="s">
        <v>4678</v>
      </c>
      <c r="E706" s="8" t="s">
        <v>4679</v>
      </c>
      <c r="F706" s="8" t="s">
        <v>4680</v>
      </c>
      <c r="G706" s="6" t="s">
        <v>38</v>
      </c>
      <c r="H706" s="6" t="s">
        <v>54</v>
      </c>
      <c r="I706" s="8" t="s">
        <v>568</v>
      </c>
      <c r="J706" s="9">
        <v>1</v>
      </c>
      <c r="K706" s="9">
        <v>328</v>
      </c>
      <c r="L706" s="9">
        <v>2023</v>
      </c>
      <c r="M706" s="8" t="s">
        <v>4681</v>
      </c>
      <c r="N706" s="8" t="s">
        <v>125</v>
      </c>
      <c r="O706" s="8" t="s">
        <v>1380</v>
      </c>
      <c r="P706" s="6" t="s">
        <v>44</v>
      </c>
      <c r="Q706" s="8" t="s">
        <v>45</v>
      </c>
      <c r="R706" s="10" t="s">
        <v>1982</v>
      </c>
      <c r="S706" s="11" t="s">
        <v>4676</v>
      </c>
      <c r="T706" s="6"/>
      <c r="U706" s="24" t="str">
        <f>HYPERLINK("https://media.infra-m.ru/1911/1911602/cover/1911602.jpg", "Обложка")</f>
        <v>Обложка</v>
      </c>
      <c r="V706" s="24" t="str">
        <f>HYPERLINK("https://znanium.ru/catalog/product/1911602", "Ознакомиться")</f>
        <v>Ознакомиться</v>
      </c>
      <c r="W706" s="8" t="s">
        <v>1180</v>
      </c>
      <c r="X706" s="6"/>
      <c r="Y706" s="6"/>
      <c r="Z706" s="6"/>
      <c r="AA706" s="6" t="s">
        <v>102</v>
      </c>
      <c r="AB706" s="8"/>
    </row>
    <row r="707" spans="1:28" s="4" customFormat="1" ht="42" customHeight="1">
      <c r="A707" s="5">
        <v>0</v>
      </c>
      <c r="B707" s="6" t="s">
        <v>4682</v>
      </c>
      <c r="C707" s="7">
        <v>1600</v>
      </c>
      <c r="D707" s="8" t="s">
        <v>4683</v>
      </c>
      <c r="E707" s="8" t="s">
        <v>4684</v>
      </c>
      <c r="F707" s="8" t="s">
        <v>1070</v>
      </c>
      <c r="G707" s="6" t="s">
        <v>90</v>
      </c>
      <c r="H707" s="6" t="s">
        <v>54</v>
      </c>
      <c r="I707" s="8" t="s">
        <v>40</v>
      </c>
      <c r="J707" s="9">
        <v>1</v>
      </c>
      <c r="K707" s="9">
        <v>305</v>
      </c>
      <c r="L707" s="9">
        <v>2026</v>
      </c>
      <c r="M707" s="8" t="s">
        <v>4685</v>
      </c>
      <c r="N707" s="8" t="s">
        <v>125</v>
      </c>
      <c r="O707" s="8" t="s">
        <v>1380</v>
      </c>
      <c r="P707" s="6" t="s">
        <v>44</v>
      </c>
      <c r="Q707" s="8" t="s">
        <v>45</v>
      </c>
      <c r="R707" s="10" t="s">
        <v>1982</v>
      </c>
      <c r="S707" s="11"/>
      <c r="T707" s="6"/>
      <c r="U707" s="24" t="str">
        <f>HYPERLINK("https://media.infra-m.ru/2220/2220457/cover/2220457.jpg", "Обложка")</f>
        <v>Обложка</v>
      </c>
      <c r="V707" s="24" t="str">
        <f>HYPERLINK("https://znanium.ru/catalog/product/2220457", "Ознакомиться")</f>
        <v>Ознакомиться</v>
      </c>
      <c r="W707" s="8" t="s">
        <v>73</v>
      </c>
      <c r="X707" s="6"/>
      <c r="Y707" s="6"/>
      <c r="Z707" s="6"/>
      <c r="AA707" s="6" t="s">
        <v>84</v>
      </c>
      <c r="AB707" s="8" t="s">
        <v>85</v>
      </c>
    </row>
    <row r="708" spans="1:28" s="4" customFormat="1" ht="42" customHeight="1">
      <c r="A708" s="5">
        <v>0</v>
      </c>
      <c r="B708" s="6" t="s">
        <v>4686</v>
      </c>
      <c r="C708" s="13">
        <v>894</v>
      </c>
      <c r="D708" s="8" t="s">
        <v>4687</v>
      </c>
      <c r="E708" s="8" t="s">
        <v>4688</v>
      </c>
      <c r="F708" s="8" t="s">
        <v>4689</v>
      </c>
      <c r="G708" s="6" t="s">
        <v>90</v>
      </c>
      <c r="H708" s="6" t="s">
        <v>54</v>
      </c>
      <c r="I708" s="8" t="s">
        <v>40</v>
      </c>
      <c r="J708" s="9">
        <v>1</v>
      </c>
      <c r="K708" s="9">
        <v>170</v>
      </c>
      <c r="L708" s="9">
        <v>2026</v>
      </c>
      <c r="M708" s="8" t="s">
        <v>4690</v>
      </c>
      <c r="N708" s="8" t="s">
        <v>125</v>
      </c>
      <c r="O708" s="8" t="s">
        <v>1630</v>
      </c>
      <c r="P708" s="6" t="s">
        <v>44</v>
      </c>
      <c r="Q708" s="8" t="s">
        <v>45</v>
      </c>
      <c r="R708" s="10" t="s">
        <v>4691</v>
      </c>
      <c r="S708" s="11"/>
      <c r="T708" s="6"/>
      <c r="U708" s="24" t="str">
        <f>HYPERLINK("https://media.infra-m.ru/2221/2221574/cover/2221574.jpg", "Обложка")</f>
        <v>Обложка</v>
      </c>
      <c r="V708" s="24" t="str">
        <f>HYPERLINK("https://znanium.ru/catalog/product/2221062", "Ознакомиться")</f>
        <v>Ознакомиться</v>
      </c>
      <c r="W708" s="8" t="s">
        <v>4692</v>
      </c>
      <c r="X708" s="6"/>
      <c r="Y708" s="6"/>
      <c r="Z708" s="6"/>
      <c r="AA708" s="6" t="s">
        <v>354</v>
      </c>
      <c r="AB708" s="8"/>
    </row>
    <row r="709" spans="1:28" s="4" customFormat="1" ht="42" customHeight="1">
      <c r="A709" s="5">
        <v>0</v>
      </c>
      <c r="B709" s="6" t="s">
        <v>4693</v>
      </c>
      <c r="C709" s="7">
        <v>1640</v>
      </c>
      <c r="D709" s="8" t="s">
        <v>4694</v>
      </c>
      <c r="E709" s="8" t="s">
        <v>4695</v>
      </c>
      <c r="F709" s="8" t="s">
        <v>4696</v>
      </c>
      <c r="G709" s="6" t="s">
        <v>38</v>
      </c>
      <c r="H709" s="6" t="s">
        <v>54</v>
      </c>
      <c r="I709" s="8" t="s">
        <v>40</v>
      </c>
      <c r="J709" s="9">
        <v>1</v>
      </c>
      <c r="K709" s="9">
        <v>296</v>
      </c>
      <c r="L709" s="9">
        <v>2025</v>
      </c>
      <c r="M709" s="8" t="s">
        <v>4697</v>
      </c>
      <c r="N709" s="8" t="s">
        <v>125</v>
      </c>
      <c r="O709" s="8" t="s">
        <v>432</v>
      </c>
      <c r="P709" s="6" t="s">
        <v>44</v>
      </c>
      <c r="Q709" s="8" t="s">
        <v>45</v>
      </c>
      <c r="R709" s="10" t="s">
        <v>908</v>
      </c>
      <c r="S709" s="11"/>
      <c r="T709" s="6"/>
      <c r="U709" s="24" t="str">
        <f>HYPERLINK("https://media.infra-m.ru/2160/2160983/cover/2160983.jpg", "Обложка")</f>
        <v>Обложка</v>
      </c>
      <c r="V709" s="24" t="str">
        <f>HYPERLINK("https://znanium.ru/catalog/product/2160983", "Ознакомиться")</f>
        <v>Ознакомиться</v>
      </c>
      <c r="W709" s="8" t="s">
        <v>222</v>
      </c>
      <c r="X709" s="6" t="s">
        <v>1400</v>
      </c>
      <c r="Y709" s="6"/>
      <c r="Z709" s="6"/>
      <c r="AA709" s="6" t="s">
        <v>84</v>
      </c>
      <c r="AB709" s="8" t="s">
        <v>801</v>
      </c>
    </row>
    <row r="710" spans="1:28" s="4" customFormat="1" ht="51.95" customHeight="1">
      <c r="A710" s="5">
        <v>0</v>
      </c>
      <c r="B710" s="6" t="s">
        <v>4698</v>
      </c>
      <c r="C710" s="7">
        <v>1560</v>
      </c>
      <c r="D710" s="8" t="s">
        <v>4699</v>
      </c>
      <c r="E710" s="8" t="s">
        <v>4700</v>
      </c>
      <c r="F710" s="8" t="s">
        <v>4701</v>
      </c>
      <c r="G710" s="6" t="s">
        <v>90</v>
      </c>
      <c r="H710" s="6" t="s">
        <v>54</v>
      </c>
      <c r="I710" s="8" t="s">
        <v>568</v>
      </c>
      <c r="J710" s="9">
        <v>1</v>
      </c>
      <c r="K710" s="9">
        <v>346</v>
      </c>
      <c r="L710" s="9">
        <v>2023</v>
      </c>
      <c r="M710" s="8" t="s">
        <v>4702</v>
      </c>
      <c r="N710" s="8" t="s">
        <v>125</v>
      </c>
      <c r="O710" s="8" t="s">
        <v>432</v>
      </c>
      <c r="P710" s="6" t="s">
        <v>58</v>
      </c>
      <c r="Q710" s="8" t="s">
        <v>45</v>
      </c>
      <c r="R710" s="10" t="s">
        <v>4703</v>
      </c>
      <c r="S710" s="11" t="s">
        <v>4704</v>
      </c>
      <c r="T710" s="6"/>
      <c r="U710" s="24" t="str">
        <f>HYPERLINK("https://media.infra-m.ru/1911/1911734/cover/1911734.jpg", "Обложка")</f>
        <v>Обложка</v>
      </c>
      <c r="V710" s="24" t="str">
        <f>HYPERLINK("https://znanium.ru/catalog/product/1911734", "Ознакомиться")</f>
        <v>Ознакомиться</v>
      </c>
      <c r="W710" s="8" t="s">
        <v>1660</v>
      </c>
      <c r="X710" s="6"/>
      <c r="Y710" s="6"/>
      <c r="Z710" s="6"/>
      <c r="AA710" s="6" t="s">
        <v>111</v>
      </c>
      <c r="AB710" s="8" t="s">
        <v>401</v>
      </c>
    </row>
    <row r="711" spans="1:28" s="4" customFormat="1" ht="51.95" customHeight="1">
      <c r="A711" s="5">
        <v>0</v>
      </c>
      <c r="B711" s="6" t="s">
        <v>4705</v>
      </c>
      <c r="C711" s="7">
        <v>1344</v>
      </c>
      <c r="D711" s="8" t="s">
        <v>4706</v>
      </c>
      <c r="E711" s="8" t="s">
        <v>4700</v>
      </c>
      <c r="F711" s="8" t="s">
        <v>4707</v>
      </c>
      <c r="G711" s="6" t="s">
        <v>38</v>
      </c>
      <c r="H711" s="6" t="s">
        <v>54</v>
      </c>
      <c r="I711" s="8" t="s">
        <v>40</v>
      </c>
      <c r="J711" s="9">
        <v>1</v>
      </c>
      <c r="K711" s="9">
        <v>251</v>
      </c>
      <c r="L711" s="9">
        <v>2026</v>
      </c>
      <c r="M711" s="8" t="s">
        <v>4708</v>
      </c>
      <c r="N711" s="8" t="s">
        <v>125</v>
      </c>
      <c r="O711" s="8" t="s">
        <v>432</v>
      </c>
      <c r="P711" s="6" t="s">
        <v>58</v>
      </c>
      <c r="Q711" s="8" t="s">
        <v>45</v>
      </c>
      <c r="R711" s="10" t="s">
        <v>4709</v>
      </c>
      <c r="S711" s="11"/>
      <c r="T711" s="6"/>
      <c r="U711" s="24" t="str">
        <f>HYPERLINK("https://media.infra-m.ru/2223/2223174/cover/2223174.jpg", "Обложка")</f>
        <v>Обложка</v>
      </c>
      <c r="V711" s="24" t="str">
        <f>HYPERLINK("https://znanium.ru/catalog/product/2209231", "Ознакомиться")</f>
        <v>Ознакомиться</v>
      </c>
      <c r="W711" s="8" t="s">
        <v>909</v>
      </c>
      <c r="X711" s="6"/>
      <c r="Y711" s="6"/>
      <c r="Z711" s="6"/>
      <c r="AA711" s="6" t="s">
        <v>354</v>
      </c>
      <c r="AB711" s="8"/>
    </row>
    <row r="712" spans="1:28" s="4" customFormat="1" ht="42" customHeight="1">
      <c r="A712" s="5">
        <v>0</v>
      </c>
      <c r="B712" s="6" t="s">
        <v>4710</v>
      </c>
      <c r="C712" s="7">
        <v>1120</v>
      </c>
      <c r="D712" s="8" t="s">
        <v>4711</v>
      </c>
      <c r="E712" s="8" t="s">
        <v>4712</v>
      </c>
      <c r="F712" s="8" t="s">
        <v>4713</v>
      </c>
      <c r="G712" s="6" t="s">
        <v>90</v>
      </c>
      <c r="H712" s="6" t="s">
        <v>54</v>
      </c>
      <c r="I712" s="8" t="s">
        <v>40</v>
      </c>
      <c r="J712" s="9">
        <v>1</v>
      </c>
      <c r="K712" s="9">
        <v>191</v>
      </c>
      <c r="L712" s="9">
        <v>2026</v>
      </c>
      <c r="M712" s="8" t="s">
        <v>4714</v>
      </c>
      <c r="N712" s="8" t="s">
        <v>125</v>
      </c>
      <c r="O712" s="8" t="s">
        <v>126</v>
      </c>
      <c r="P712" s="6" t="s">
        <v>44</v>
      </c>
      <c r="Q712" s="8" t="s">
        <v>45</v>
      </c>
      <c r="R712" s="10" t="s">
        <v>4715</v>
      </c>
      <c r="S712" s="11"/>
      <c r="T712" s="6"/>
      <c r="U712" s="24" t="str">
        <f>HYPERLINK("https://media.infra-m.ru/2221/2221980/cover/2221980.jpg", "Обложка")</f>
        <v>Обложка</v>
      </c>
      <c r="V712" s="24" t="str">
        <f>HYPERLINK("https://znanium.ru/catalog/product/2221980", "Ознакомиться")</f>
        <v>Ознакомиться</v>
      </c>
      <c r="W712" s="8" t="s">
        <v>180</v>
      </c>
      <c r="X712" s="6"/>
      <c r="Y712" s="6"/>
      <c r="Z712" s="6"/>
      <c r="AA712" s="6" t="s">
        <v>84</v>
      </c>
      <c r="AB712" s="8"/>
    </row>
    <row r="713" spans="1:28" s="4" customFormat="1" ht="51.95" customHeight="1">
      <c r="A713" s="5">
        <v>0</v>
      </c>
      <c r="B713" s="6" t="s">
        <v>4716</v>
      </c>
      <c r="C713" s="13">
        <v>744.9</v>
      </c>
      <c r="D713" s="8" t="s">
        <v>4717</v>
      </c>
      <c r="E713" s="8" t="s">
        <v>4718</v>
      </c>
      <c r="F713" s="8" t="s">
        <v>4719</v>
      </c>
      <c r="G713" s="6" t="s">
        <v>38</v>
      </c>
      <c r="H713" s="6" t="s">
        <v>54</v>
      </c>
      <c r="I713" s="8" t="s">
        <v>40</v>
      </c>
      <c r="J713" s="9">
        <v>1</v>
      </c>
      <c r="K713" s="9">
        <v>165</v>
      </c>
      <c r="L713" s="9">
        <v>2023</v>
      </c>
      <c r="M713" s="8" t="s">
        <v>4720</v>
      </c>
      <c r="N713" s="8" t="s">
        <v>125</v>
      </c>
      <c r="O713" s="8" t="s">
        <v>126</v>
      </c>
      <c r="P713" s="6" t="s">
        <v>44</v>
      </c>
      <c r="Q713" s="8" t="s">
        <v>45</v>
      </c>
      <c r="R713" s="10" t="s">
        <v>464</v>
      </c>
      <c r="S713" s="11" t="s">
        <v>4721</v>
      </c>
      <c r="T713" s="6" t="s">
        <v>118</v>
      </c>
      <c r="U713" s="24" t="str">
        <f>HYPERLINK("https://media.infra-m.ru/1964/1964974/cover/1964974.jpg", "Обложка")</f>
        <v>Обложка</v>
      </c>
      <c r="V713" s="24" t="str">
        <f>HYPERLINK("https://znanium.ru/catalog/product/1013021", "Ознакомиться")</f>
        <v>Ознакомиться</v>
      </c>
      <c r="W713" s="8" t="s">
        <v>329</v>
      </c>
      <c r="X713" s="6"/>
      <c r="Y713" s="6"/>
      <c r="Z713" s="6"/>
      <c r="AA713" s="6" t="s">
        <v>740</v>
      </c>
      <c r="AB713" s="8"/>
    </row>
    <row r="714" spans="1:28" s="4" customFormat="1" ht="51.95" customHeight="1">
      <c r="A714" s="5">
        <v>0</v>
      </c>
      <c r="B714" s="6" t="s">
        <v>4722</v>
      </c>
      <c r="C714" s="7">
        <v>1280</v>
      </c>
      <c r="D714" s="8" t="s">
        <v>4723</v>
      </c>
      <c r="E714" s="8" t="s">
        <v>4724</v>
      </c>
      <c r="F714" s="8" t="s">
        <v>4725</v>
      </c>
      <c r="G714" s="6" t="s">
        <v>90</v>
      </c>
      <c r="H714" s="6" t="s">
        <v>54</v>
      </c>
      <c r="I714" s="8" t="s">
        <v>40</v>
      </c>
      <c r="J714" s="9">
        <v>1</v>
      </c>
      <c r="K714" s="9">
        <v>256</v>
      </c>
      <c r="L714" s="9">
        <v>2025</v>
      </c>
      <c r="M714" s="8" t="s">
        <v>4726</v>
      </c>
      <c r="N714" s="8" t="s">
        <v>535</v>
      </c>
      <c r="O714" s="8" t="s">
        <v>1048</v>
      </c>
      <c r="P714" s="6" t="s">
        <v>44</v>
      </c>
      <c r="Q714" s="8" t="s">
        <v>45</v>
      </c>
      <c r="R714" s="10" t="s">
        <v>1423</v>
      </c>
      <c r="S714" s="11" t="s">
        <v>4727</v>
      </c>
      <c r="T714" s="6" t="s">
        <v>118</v>
      </c>
      <c r="U714" s="24" t="str">
        <f>HYPERLINK("https://media.infra-m.ru/2171/2171478/cover/2171478.jpg", "Обложка")</f>
        <v>Обложка</v>
      </c>
      <c r="V714" s="24" t="str">
        <f>HYPERLINK("https://znanium.ru/catalog/product/2171478", "Ознакомиться")</f>
        <v>Ознакомиться</v>
      </c>
      <c r="W714" s="8" t="s">
        <v>2309</v>
      </c>
      <c r="X714" s="6"/>
      <c r="Y714" s="6"/>
      <c r="Z714" s="6" t="s">
        <v>1260</v>
      </c>
      <c r="AA714" s="6" t="s">
        <v>223</v>
      </c>
      <c r="AB714" s="8"/>
    </row>
    <row r="715" spans="1:28" s="4" customFormat="1" ht="51.95" customHeight="1">
      <c r="A715" s="5">
        <v>0</v>
      </c>
      <c r="B715" s="6" t="s">
        <v>4728</v>
      </c>
      <c r="C715" s="7">
        <v>2592</v>
      </c>
      <c r="D715" s="8" t="s">
        <v>4729</v>
      </c>
      <c r="E715" s="8" t="s">
        <v>4730</v>
      </c>
      <c r="F715" s="8" t="s">
        <v>4731</v>
      </c>
      <c r="G715" s="6" t="s">
        <v>90</v>
      </c>
      <c r="H715" s="6" t="s">
        <v>39</v>
      </c>
      <c r="I715" s="8" t="s">
        <v>69</v>
      </c>
      <c r="J715" s="9">
        <v>1</v>
      </c>
      <c r="K715" s="9">
        <v>384</v>
      </c>
      <c r="L715" s="9">
        <v>2025</v>
      </c>
      <c r="M715" s="8" t="s">
        <v>4732</v>
      </c>
      <c r="N715" s="8" t="s">
        <v>125</v>
      </c>
      <c r="O715" s="8" t="s">
        <v>1380</v>
      </c>
      <c r="P715" s="6" t="s">
        <v>58</v>
      </c>
      <c r="Q715" s="8" t="s">
        <v>45</v>
      </c>
      <c r="R715" s="10" t="s">
        <v>4733</v>
      </c>
      <c r="S715" s="11" t="s">
        <v>4734</v>
      </c>
      <c r="T715" s="6"/>
      <c r="U715" s="24" t="str">
        <f>HYPERLINK("https://media.infra-m.ru/2186/2186169/cover/2186169.jpg", "Обложка")</f>
        <v>Обложка</v>
      </c>
      <c r="V715" s="24" t="str">
        <f>HYPERLINK("https://znanium.ru/catalog/product/2186169", "Ознакомиться")</f>
        <v>Ознакомиться</v>
      </c>
      <c r="W715" s="8" t="s">
        <v>4735</v>
      </c>
      <c r="X715" s="6"/>
      <c r="Y715" s="6" t="s">
        <v>30</v>
      </c>
      <c r="Z715" s="6"/>
      <c r="AA715" s="6" t="s">
        <v>2008</v>
      </c>
      <c r="AB715" s="8"/>
    </row>
    <row r="716" spans="1:28" s="4" customFormat="1" ht="51.95" customHeight="1">
      <c r="A716" s="5">
        <v>0</v>
      </c>
      <c r="B716" s="6" t="s">
        <v>4736</v>
      </c>
      <c r="C716" s="7">
        <v>1080</v>
      </c>
      <c r="D716" s="8" t="s">
        <v>4737</v>
      </c>
      <c r="E716" s="8" t="s">
        <v>4738</v>
      </c>
      <c r="F716" s="8" t="s">
        <v>4739</v>
      </c>
      <c r="G716" s="6" t="s">
        <v>38</v>
      </c>
      <c r="H716" s="6" t="s">
        <v>54</v>
      </c>
      <c r="I716" s="8" t="s">
        <v>40</v>
      </c>
      <c r="J716" s="9">
        <v>1</v>
      </c>
      <c r="K716" s="9">
        <v>203</v>
      </c>
      <c r="L716" s="9">
        <v>2024</v>
      </c>
      <c r="M716" s="8" t="s">
        <v>4740</v>
      </c>
      <c r="N716" s="8" t="s">
        <v>42</v>
      </c>
      <c r="O716" s="8" t="s">
        <v>319</v>
      </c>
      <c r="P716" s="6" t="s">
        <v>44</v>
      </c>
      <c r="Q716" s="8" t="s">
        <v>45</v>
      </c>
      <c r="R716" s="10" t="s">
        <v>4741</v>
      </c>
      <c r="S716" s="11" t="s">
        <v>4742</v>
      </c>
      <c r="T716" s="6"/>
      <c r="U716" s="24" t="str">
        <f>HYPERLINK("https://media.infra-m.ru/2124/2124790/cover/2124790.jpg", "Обложка")</f>
        <v>Обложка</v>
      </c>
      <c r="V716" s="24" t="str">
        <f>HYPERLINK("https://znanium.ru/catalog/product/2124790", "Ознакомиться")</f>
        <v>Ознакомиться</v>
      </c>
      <c r="W716" s="8" t="s">
        <v>4743</v>
      </c>
      <c r="X716" s="6"/>
      <c r="Y716" s="6"/>
      <c r="Z716" s="6"/>
      <c r="AA716" s="6" t="s">
        <v>49</v>
      </c>
      <c r="AB716" s="8"/>
    </row>
    <row r="717" spans="1:28" s="4" customFormat="1" ht="51.95" customHeight="1">
      <c r="A717" s="5">
        <v>0</v>
      </c>
      <c r="B717" s="6" t="s">
        <v>4744</v>
      </c>
      <c r="C717" s="7">
        <v>1074.9000000000001</v>
      </c>
      <c r="D717" s="8" t="s">
        <v>4745</v>
      </c>
      <c r="E717" s="8" t="s">
        <v>4746</v>
      </c>
      <c r="F717" s="8" t="s">
        <v>4747</v>
      </c>
      <c r="G717" s="6" t="s">
        <v>90</v>
      </c>
      <c r="H717" s="6" t="s">
        <v>54</v>
      </c>
      <c r="I717" s="8" t="s">
        <v>40</v>
      </c>
      <c r="J717" s="9">
        <v>1</v>
      </c>
      <c r="K717" s="9">
        <v>238</v>
      </c>
      <c r="L717" s="9">
        <v>2023</v>
      </c>
      <c r="M717" s="8" t="s">
        <v>4748</v>
      </c>
      <c r="N717" s="8" t="s">
        <v>42</v>
      </c>
      <c r="O717" s="8" t="s">
        <v>319</v>
      </c>
      <c r="P717" s="6" t="s">
        <v>44</v>
      </c>
      <c r="Q717" s="8" t="s">
        <v>45</v>
      </c>
      <c r="R717" s="10" t="s">
        <v>4741</v>
      </c>
      <c r="S717" s="11" t="s">
        <v>4749</v>
      </c>
      <c r="T717" s="6"/>
      <c r="U717" s="24" t="str">
        <f>HYPERLINK("https://media.infra-m.ru/2045/2045954/cover/2045954.jpg", "Обложка")</f>
        <v>Обложка</v>
      </c>
      <c r="V717" s="24" t="str">
        <f>HYPERLINK("https://znanium.ru/catalog/product/2124790", "Ознакомиться")</f>
        <v>Ознакомиться</v>
      </c>
      <c r="W717" s="8" t="s">
        <v>4743</v>
      </c>
      <c r="X717" s="6"/>
      <c r="Y717" s="6"/>
      <c r="Z717" s="6"/>
      <c r="AA717" s="6" t="s">
        <v>740</v>
      </c>
      <c r="AB717" s="8"/>
    </row>
    <row r="718" spans="1:28" s="4" customFormat="1" ht="51.95" customHeight="1">
      <c r="A718" s="5">
        <v>0</v>
      </c>
      <c r="B718" s="6" t="s">
        <v>4750</v>
      </c>
      <c r="C718" s="7">
        <v>1600</v>
      </c>
      <c r="D718" s="8" t="s">
        <v>4751</v>
      </c>
      <c r="E718" s="8" t="s">
        <v>4752</v>
      </c>
      <c r="F718" s="8" t="s">
        <v>4739</v>
      </c>
      <c r="G718" s="6" t="s">
        <v>38</v>
      </c>
      <c r="H718" s="6" t="s">
        <v>54</v>
      </c>
      <c r="I718" s="8" t="s">
        <v>40</v>
      </c>
      <c r="J718" s="9">
        <v>1</v>
      </c>
      <c r="K718" s="9">
        <v>333</v>
      </c>
      <c r="L718" s="9">
        <v>2024</v>
      </c>
      <c r="M718" s="8" t="s">
        <v>4753</v>
      </c>
      <c r="N718" s="8" t="s">
        <v>42</v>
      </c>
      <c r="O718" s="8" t="s">
        <v>169</v>
      </c>
      <c r="P718" s="6" t="s">
        <v>44</v>
      </c>
      <c r="Q718" s="8" t="s">
        <v>45</v>
      </c>
      <c r="R718" s="10" t="s">
        <v>4754</v>
      </c>
      <c r="S718" s="11" t="s">
        <v>4755</v>
      </c>
      <c r="T718" s="6"/>
      <c r="U718" s="24" t="str">
        <f>HYPERLINK("https://media.infra-m.ru/2138/2138112/cover/2138112.jpg", "Обложка")</f>
        <v>Обложка</v>
      </c>
      <c r="V718" s="24" t="str">
        <f>HYPERLINK("https://znanium.ru/catalog/product/2138112", "Ознакомиться")</f>
        <v>Ознакомиться</v>
      </c>
      <c r="W718" s="8" t="s">
        <v>4743</v>
      </c>
      <c r="X718" s="6"/>
      <c r="Y718" s="6"/>
      <c r="Z718" s="6"/>
      <c r="AA718" s="6" t="s">
        <v>49</v>
      </c>
      <c r="AB718" s="8"/>
    </row>
    <row r="719" spans="1:28" s="4" customFormat="1" ht="51.95" customHeight="1">
      <c r="A719" s="5">
        <v>0</v>
      </c>
      <c r="B719" s="6" t="s">
        <v>4756</v>
      </c>
      <c r="C719" s="7">
        <v>1990</v>
      </c>
      <c r="D719" s="8" t="s">
        <v>4757</v>
      </c>
      <c r="E719" s="8" t="s">
        <v>4758</v>
      </c>
      <c r="F719" s="8" t="s">
        <v>4739</v>
      </c>
      <c r="G719" s="6" t="s">
        <v>38</v>
      </c>
      <c r="H719" s="6" t="s">
        <v>54</v>
      </c>
      <c r="I719" s="8" t="s">
        <v>40</v>
      </c>
      <c r="J719" s="9">
        <v>1</v>
      </c>
      <c r="K719" s="9">
        <v>525</v>
      </c>
      <c r="L719" s="9">
        <v>2022</v>
      </c>
      <c r="M719" s="8" t="s">
        <v>4759</v>
      </c>
      <c r="N719" s="8" t="s">
        <v>42</v>
      </c>
      <c r="O719" s="8" t="s">
        <v>169</v>
      </c>
      <c r="P719" s="6" t="s">
        <v>44</v>
      </c>
      <c r="Q719" s="8" t="s">
        <v>45</v>
      </c>
      <c r="R719" s="10" t="s">
        <v>4754</v>
      </c>
      <c r="S719" s="11" t="s">
        <v>4760</v>
      </c>
      <c r="T719" s="6"/>
      <c r="U719" s="24" t="str">
        <f>HYPERLINK("https://media.infra-m.ru/1865/1865774/cover/1865774.jpg", "Обложка")</f>
        <v>Обложка</v>
      </c>
      <c r="V719" s="24" t="str">
        <f>HYPERLINK("https://znanium.ru/catalog/product/2138112", "Ознакомиться")</f>
        <v>Ознакомиться</v>
      </c>
      <c r="W719" s="8" t="s">
        <v>4743</v>
      </c>
      <c r="X719" s="6"/>
      <c r="Y719" s="6"/>
      <c r="Z719" s="6"/>
      <c r="AA719" s="6" t="s">
        <v>500</v>
      </c>
      <c r="AB719" s="8"/>
    </row>
    <row r="720" spans="1:28" s="4" customFormat="1" ht="51.95" customHeight="1">
      <c r="A720" s="5">
        <v>0</v>
      </c>
      <c r="B720" s="6" t="s">
        <v>4761</v>
      </c>
      <c r="C720" s="7">
        <v>1324</v>
      </c>
      <c r="D720" s="8" t="s">
        <v>4762</v>
      </c>
      <c r="E720" s="8" t="s">
        <v>4763</v>
      </c>
      <c r="F720" s="8" t="s">
        <v>4764</v>
      </c>
      <c r="G720" s="6" t="s">
        <v>90</v>
      </c>
      <c r="H720" s="6" t="s">
        <v>54</v>
      </c>
      <c r="I720" s="8" t="s">
        <v>40</v>
      </c>
      <c r="J720" s="9">
        <v>1</v>
      </c>
      <c r="K720" s="9">
        <v>254</v>
      </c>
      <c r="L720" s="9">
        <v>2025</v>
      </c>
      <c r="M720" s="8" t="s">
        <v>4765</v>
      </c>
      <c r="N720" s="8" t="s">
        <v>42</v>
      </c>
      <c r="O720" s="8" t="s">
        <v>187</v>
      </c>
      <c r="P720" s="6" t="s">
        <v>58</v>
      </c>
      <c r="Q720" s="8" t="s">
        <v>45</v>
      </c>
      <c r="R720" s="10" t="s">
        <v>4766</v>
      </c>
      <c r="S720" s="11" t="s">
        <v>252</v>
      </c>
      <c r="T720" s="6"/>
      <c r="U720" s="24" t="str">
        <f>HYPERLINK("https://media.infra-m.ru/2221/2221077/cover/2221077.jpg", "Обложка")</f>
        <v>Обложка</v>
      </c>
      <c r="V720" s="24" t="str">
        <f>HYPERLINK("https://znanium.ru/catalog/product/2213274", "Ознакомиться")</f>
        <v>Ознакомиться</v>
      </c>
      <c r="W720" s="8" t="s">
        <v>190</v>
      </c>
      <c r="X720" s="6"/>
      <c r="Y720" s="6" t="s">
        <v>30</v>
      </c>
      <c r="Z720" s="6"/>
      <c r="AA720" s="6" t="s">
        <v>270</v>
      </c>
      <c r="AB720" s="8"/>
    </row>
    <row r="721" spans="1:28" s="4" customFormat="1" ht="51.95" customHeight="1">
      <c r="A721" s="5">
        <v>0</v>
      </c>
      <c r="B721" s="6" t="s">
        <v>4767</v>
      </c>
      <c r="C721" s="13">
        <v>820</v>
      </c>
      <c r="D721" s="8" t="s">
        <v>4768</v>
      </c>
      <c r="E721" s="8" t="s">
        <v>4769</v>
      </c>
      <c r="F721" s="8" t="s">
        <v>4410</v>
      </c>
      <c r="G721" s="6" t="s">
        <v>90</v>
      </c>
      <c r="H721" s="6" t="s">
        <v>54</v>
      </c>
      <c r="I721" s="8" t="s">
        <v>40</v>
      </c>
      <c r="J721" s="9">
        <v>1</v>
      </c>
      <c r="K721" s="9">
        <v>163</v>
      </c>
      <c r="L721" s="9">
        <v>2025</v>
      </c>
      <c r="M721" s="8" t="s">
        <v>4770</v>
      </c>
      <c r="N721" s="8" t="s">
        <v>56</v>
      </c>
      <c r="O721" s="8" t="s">
        <v>57</v>
      </c>
      <c r="P721" s="6" t="s">
        <v>44</v>
      </c>
      <c r="Q721" s="8" t="s">
        <v>45</v>
      </c>
      <c r="R721" s="10" t="s">
        <v>4771</v>
      </c>
      <c r="S721" s="11" t="s">
        <v>4772</v>
      </c>
      <c r="T721" s="6"/>
      <c r="U721" s="24" t="str">
        <f>HYPERLINK("https://media.infra-m.ru/2167/2167694/cover/2167694.jpg", "Обложка")</f>
        <v>Обложка</v>
      </c>
      <c r="V721" s="24" t="str">
        <f>HYPERLINK("https://znanium.ru/catalog/product/2167694", "Ознакомиться")</f>
        <v>Ознакомиться</v>
      </c>
      <c r="W721" s="8" t="s">
        <v>4414</v>
      </c>
      <c r="X721" s="6"/>
      <c r="Y721" s="6"/>
      <c r="Z721" s="6" t="s">
        <v>48</v>
      </c>
      <c r="AA721" s="6" t="s">
        <v>740</v>
      </c>
      <c r="AB721" s="8"/>
    </row>
    <row r="722" spans="1:28" s="4" customFormat="1" ht="51.95" customHeight="1">
      <c r="A722" s="5">
        <v>0</v>
      </c>
      <c r="B722" s="6" t="s">
        <v>4773</v>
      </c>
      <c r="C722" s="13">
        <v>870</v>
      </c>
      <c r="D722" s="8" t="s">
        <v>4774</v>
      </c>
      <c r="E722" s="8" t="s">
        <v>4775</v>
      </c>
      <c r="F722" s="8" t="s">
        <v>4776</v>
      </c>
      <c r="G722" s="6" t="s">
        <v>90</v>
      </c>
      <c r="H722" s="6" t="s">
        <v>39</v>
      </c>
      <c r="I722" s="8" t="s">
        <v>40</v>
      </c>
      <c r="J722" s="9">
        <v>1</v>
      </c>
      <c r="K722" s="9">
        <v>157</v>
      </c>
      <c r="L722" s="9">
        <v>2025</v>
      </c>
      <c r="M722" s="8" t="s">
        <v>4777</v>
      </c>
      <c r="N722" s="8" t="s">
        <v>535</v>
      </c>
      <c r="O722" s="8" t="s">
        <v>856</v>
      </c>
      <c r="P722" s="6" t="s">
        <v>44</v>
      </c>
      <c r="Q722" s="8" t="s">
        <v>45</v>
      </c>
      <c r="R722" s="10" t="s">
        <v>4778</v>
      </c>
      <c r="S722" s="11"/>
      <c r="T722" s="6"/>
      <c r="U722" s="24" t="str">
        <f>HYPERLINK("https://media.infra-m.ru/2172/2172152/cover/2172152.jpg", "Обложка")</f>
        <v>Обложка</v>
      </c>
      <c r="V722" s="24" t="str">
        <f>HYPERLINK("https://znanium.ru/catalog/product/2172152", "Ознакомиться")</f>
        <v>Ознакомиться</v>
      </c>
      <c r="W722" s="8" t="s">
        <v>1050</v>
      </c>
      <c r="X722" s="6" t="s">
        <v>367</v>
      </c>
      <c r="Y722" s="6"/>
      <c r="Z722" s="6" t="s">
        <v>48</v>
      </c>
      <c r="AA722" s="6" t="s">
        <v>231</v>
      </c>
      <c r="AB722" s="8" t="s">
        <v>2056</v>
      </c>
    </row>
    <row r="723" spans="1:28" s="4" customFormat="1" ht="42" customHeight="1">
      <c r="A723" s="5">
        <v>0</v>
      </c>
      <c r="B723" s="6" t="s">
        <v>4779</v>
      </c>
      <c r="C723" s="7">
        <v>1930</v>
      </c>
      <c r="D723" s="8" t="s">
        <v>4780</v>
      </c>
      <c r="E723" s="8" t="s">
        <v>4781</v>
      </c>
      <c r="F723" s="8" t="s">
        <v>1780</v>
      </c>
      <c r="G723" s="6" t="s">
        <v>38</v>
      </c>
      <c r="H723" s="6" t="s">
        <v>54</v>
      </c>
      <c r="I723" s="8" t="s">
        <v>40</v>
      </c>
      <c r="J723" s="9">
        <v>1</v>
      </c>
      <c r="K723" s="9">
        <v>379</v>
      </c>
      <c r="L723" s="9">
        <v>2024</v>
      </c>
      <c r="M723" s="8" t="s">
        <v>4782</v>
      </c>
      <c r="N723" s="8" t="s">
        <v>125</v>
      </c>
      <c r="O723" s="8" t="s">
        <v>352</v>
      </c>
      <c r="P723" s="6" t="s">
        <v>44</v>
      </c>
      <c r="Q723" s="8" t="s">
        <v>45</v>
      </c>
      <c r="R723" s="10" t="s">
        <v>1658</v>
      </c>
      <c r="S723" s="11"/>
      <c r="T723" s="6"/>
      <c r="U723" s="24" t="str">
        <f>HYPERLINK("https://media.infra-m.ru/1930/1930673/cover/1930673.jpg", "Обложка")</f>
        <v>Обложка</v>
      </c>
      <c r="V723" s="24" t="str">
        <f>HYPERLINK("https://znanium.ru/catalog/product/1930673", "Ознакомиться")</f>
        <v>Ознакомиться</v>
      </c>
      <c r="W723" s="8" t="s">
        <v>1067</v>
      </c>
      <c r="X723" s="6"/>
      <c r="Y723" s="6"/>
      <c r="Z723" s="6"/>
      <c r="AA723" s="6" t="s">
        <v>354</v>
      </c>
      <c r="AB723" s="8" t="s">
        <v>2908</v>
      </c>
    </row>
    <row r="724" spans="1:28" s="4" customFormat="1" ht="51.95" customHeight="1">
      <c r="A724" s="5">
        <v>0</v>
      </c>
      <c r="B724" s="6" t="s">
        <v>4783</v>
      </c>
      <c r="C724" s="7">
        <v>1480</v>
      </c>
      <c r="D724" s="8" t="s">
        <v>4784</v>
      </c>
      <c r="E724" s="8" t="s">
        <v>4785</v>
      </c>
      <c r="F724" s="8" t="s">
        <v>4786</v>
      </c>
      <c r="G724" s="6" t="s">
        <v>90</v>
      </c>
      <c r="H724" s="6" t="s">
        <v>54</v>
      </c>
      <c r="I724" s="8" t="s">
        <v>568</v>
      </c>
      <c r="J724" s="9">
        <v>1</v>
      </c>
      <c r="K724" s="9">
        <v>285</v>
      </c>
      <c r="L724" s="9">
        <v>2026</v>
      </c>
      <c r="M724" s="8" t="s">
        <v>4787</v>
      </c>
      <c r="N724" s="8" t="s">
        <v>42</v>
      </c>
      <c r="O724" s="8" t="s">
        <v>319</v>
      </c>
      <c r="P724" s="6" t="s">
        <v>44</v>
      </c>
      <c r="Q724" s="8" t="s">
        <v>45</v>
      </c>
      <c r="R724" s="10" t="s">
        <v>4788</v>
      </c>
      <c r="S724" s="11" t="s">
        <v>4789</v>
      </c>
      <c r="T724" s="6"/>
      <c r="U724" s="24" t="str">
        <f>HYPERLINK("https://media.infra-m.ru/2213/2213260/cover/2213260.jpg", "Обложка")</f>
        <v>Обложка</v>
      </c>
      <c r="V724" s="24" t="str">
        <f>HYPERLINK("https://znanium.ru/catalog/product/2213260", "Ознакомиться")</f>
        <v>Ознакомиться</v>
      </c>
      <c r="W724" s="8" t="s">
        <v>1180</v>
      </c>
      <c r="X724" s="6"/>
      <c r="Y724" s="6"/>
      <c r="Z724" s="6"/>
      <c r="AA724" s="6" t="s">
        <v>102</v>
      </c>
      <c r="AB724" s="8"/>
    </row>
    <row r="725" spans="1:28" s="4" customFormat="1" ht="51.95" customHeight="1">
      <c r="A725" s="5">
        <v>0</v>
      </c>
      <c r="B725" s="6" t="s">
        <v>4790</v>
      </c>
      <c r="C725" s="13">
        <v>610</v>
      </c>
      <c r="D725" s="8" t="s">
        <v>4791</v>
      </c>
      <c r="E725" s="8" t="s">
        <v>4792</v>
      </c>
      <c r="F725" s="8" t="s">
        <v>4793</v>
      </c>
      <c r="G725" s="6" t="s">
        <v>90</v>
      </c>
      <c r="H725" s="6" t="s">
        <v>54</v>
      </c>
      <c r="I725" s="8" t="s">
        <v>40</v>
      </c>
      <c r="J725" s="9">
        <v>1</v>
      </c>
      <c r="K725" s="9">
        <v>187</v>
      </c>
      <c r="L725" s="9">
        <v>2019</v>
      </c>
      <c r="M725" s="8" t="s">
        <v>4794</v>
      </c>
      <c r="N725" s="8" t="s">
        <v>535</v>
      </c>
      <c r="O725" s="8" t="s">
        <v>1048</v>
      </c>
      <c r="P725" s="6" t="s">
        <v>58</v>
      </c>
      <c r="Q725" s="8" t="s">
        <v>45</v>
      </c>
      <c r="R725" s="10" t="s">
        <v>4795</v>
      </c>
      <c r="S725" s="11" t="s">
        <v>4796</v>
      </c>
      <c r="T725" s="6"/>
      <c r="U725" s="24" t="str">
        <f>HYPERLINK("https://media.infra-m.ru/1015/1015854/cover/1015854.jpg", "Обложка")</f>
        <v>Обложка</v>
      </c>
      <c r="V725" s="24" t="str">
        <f>HYPERLINK("https://znanium.ru/catalog/product/2215371", "Ознакомиться")</f>
        <v>Ознакомиться</v>
      </c>
      <c r="W725" s="8" t="s">
        <v>190</v>
      </c>
      <c r="X725" s="6"/>
      <c r="Y725" s="6"/>
      <c r="Z725" s="6"/>
      <c r="AA725" s="6" t="s">
        <v>95</v>
      </c>
      <c r="AB725" s="8"/>
    </row>
    <row r="726" spans="1:28" s="4" customFormat="1" ht="51.95" customHeight="1">
      <c r="A726" s="5">
        <v>0</v>
      </c>
      <c r="B726" s="6" t="s">
        <v>4797</v>
      </c>
      <c r="C726" s="7">
        <v>1020</v>
      </c>
      <c r="D726" s="8" t="s">
        <v>4798</v>
      </c>
      <c r="E726" s="8" t="s">
        <v>4799</v>
      </c>
      <c r="F726" s="8" t="s">
        <v>4800</v>
      </c>
      <c r="G726" s="6" t="s">
        <v>90</v>
      </c>
      <c r="H726" s="6" t="s">
        <v>54</v>
      </c>
      <c r="I726" s="8" t="s">
        <v>40</v>
      </c>
      <c r="J726" s="9">
        <v>1</v>
      </c>
      <c r="K726" s="9">
        <v>190</v>
      </c>
      <c r="L726" s="9">
        <v>2026</v>
      </c>
      <c r="M726" s="8" t="s">
        <v>4801</v>
      </c>
      <c r="N726" s="8" t="s">
        <v>535</v>
      </c>
      <c r="O726" s="8" t="s">
        <v>1048</v>
      </c>
      <c r="P726" s="6" t="s">
        <v>58</v>
      </c>
      <c r="Q726" s="8" t="s">
        <v>45</v>
      </c>
      <c r="R726" s="10" t="s">
        <v>4795</v>
      </c>
      <c r="S726" s="11" t="s">
        <v>4796</v>
      </c>
      <c r="T726" s="6"/>
      <c r="U726" s="24" t="str">
        <f>HYPERLINK("https://media.infra-m.ru/2215/2215371/cover/2215371.jpg", "Обложка")</f>
        <v>Обложка</v>
      </c>
      <c r="V726" s="24" t="str">
        <f>HYPERLINK("https://znanium.ru/catalog/product/2215371", "Ознакомиться")</f>
        <v>Ознакомиться</v>
      </c>
      <c r="W726" s="8" t="s">
        <v>190</v>
      </c>
      <c r="X726" s="6"/>
      <c r="Y726" s="6"/>
      <c r="Z726" s="6"/>
      <c r="AA726" s="6" t="s">
        <v>4802</v>
      </c>
      <c r="AB726" s="8"/>
    </row>
    <row r="727" spans="1:28" s="4" customFormat="1" ht="51.95" customHeight="1">
      <c r="A727" s="5">
        <v>0</v>
      </c>
      <c r="B727" s="6" t="s">
        <v>4803</v>
      </c>
      <c r="C727" s="7">
        <v>1320</v>
      </c>
      <c r="D727" s="8" t="s">
        <v>4804</v>
      </c>
      <c r="E727" s="8" t="s">
        <v>4805</v>
      </c>
      <c r="F727" s="8" t="s">
        <v>4806</v>
      </c>
      <c r="G727" s="6" t="s">
        <v>90</v>
      </c>
      <c r="H727" s="6" t="s">
        <v>54</v>
      </c>
      <c r="I727" s="8" t="s">
        <v>40</v>
      </c>
      <c r="J727" s="9">
        <v>1</v>
      </c>
      <c r="K727" s="9">
        <v>346</v>
      </c>
      <c r="L727" s="9">
        <v>2022</v>
      </c>
      <c r="M727" s="8" t="s">
        <v>4807</v>
      </c>
      <c r="N727" s="8" t="s">
        <v>42</v>
      </c>
      <c r="O727" s="8" t="s">
        <v>43</v>
      </c>
      <c r="P727" s="6" t="s">
        <v>44</v>
      </c>
      <c r="Q727" s="8" t="s">
        <v>45</v>
      </c>
      <c r="R727" s="10" t="s">
        <v>4808</v>
      </c>
      <c r="S727" s="11" t="s">
        <v>4809</v>
      </c>
      <c r="T727" s="6"/>
      <c r="U727" s="24" t="str">
        <f>HYPERLINK("https://media.infra-m.ru/1056/1056856/cover/1056856.jpg", "Обложка")</f>
        <v>Обложка</v>
      </c>
      <c r="V727" s="24" t="str">
        <f>HYPERLINK("https://znanium.ru/catalog/product/1056856", "Ознакомиться")</f>
        <v>Ознакомиться</v>
      </c>
      <c r="W727" s="8" t="s">
        <v>834</v>
      </c>
      <c r="X727" s="6"/>
      <c r="Y727" s="6" t="s">
        <v>30</v>
      </c>
      <c r="Z727" s="6"/>
      <c r="AA727" s="6" t="s">
        <v>2226</v>
      </c>
      <c r="AB727" s="8"/>
    </row>
    <row r="728" spans="1:28" s="4" customFormat="1" ht="51.95" customHeight="1">
      <c r="A728" s="5">
        <v>0</v>
      </c>
      <c r="B728" s="6" t="s">
        <v>4810</v>
      </c>
      <c r="C728" s="7">
        <v>1444</v>
      </c>
      <c r="D728" s="8" t="s">
        <v>4811</v>
      </c>
      <c r="E728" s="8" t="s">
        <v>4812</v>
      </c>
      <c r="F728" s="8" t="s">
        <v>4813</v>
      </c>
      <c r="G728" s="6" t="s">
        <v>38</v>
      </c>
      <c r="H728" s="6" t="s">
        <v>39</v>
      </c>
      <c r="I728" s="8" t="s">
        <v>69</v>
      </c>
      <c r="J728" s="9">
        <v>1</v>
      </c>
      <c r="K728" s="9">
        <v>288</v>
      </c>
      <c r="L728" s="9">
        <v>2025</v>
      </c>
      <c r="M728" s="8" t="s">
        <v>4814</v>
      </c>
      <c r="N728" s="8" t="s">
        <v>42</v>
      </c>
      <c r="O728" s="8" t="s">
        <v>43</v>
      </c>
      <c r="P728" s="6" t="s">
        <v>44</v>
      </c>
      <c r="Q728" s="8" t="s">
        <v>45</v>
      </c>
      <c r="R728" s="10" t="s">
        <v>2379</v>
      </c>
      <c r="S728" s="11" t="s">
        <v>2980</v>
      </c>
      <c r="T728" s="6"/>
      <c r="U728" s="24" t="str">
        <f>HYPERLINK("https://media.infra-m.ru/2141/2141726/cover/2141726.jpg", "Обложка")</f>
        <v>Обложка</v>
      </c>
      <c r="V728" s="12"/>
      <c r="W728" s="8" t="s">
        <v>1050</v>
      </c>
      <c r="X728" s="6"/>
      <c r="Y728" s="6"/>
      <c r="Z728" s="6"/>
      <c r="AA728" s="6" t="s">
        <v>4815</v>
      </c>
      <c r="AB728" s="8"/>
    </row>
    <row r="729" spans="1:28" s="4" customFormat="1" ht="51.95" customHeight="1">
      <c r="A729" s="5">
        <v>0</v>
      </c>
      <c r="B729" s="6" t="s">
        <v>4816</v>
      </c>
      <c r="C729" s="7">
        <v>1080</v>
      </c>
      <c r="D729" s="8" t="s">
        <v>4817</v>
      </c>
      <c r="E729" s="8" t="s">
        <v>4818</v>
      </c>
      <c r="F729" s="8" t="s">
        <v>4819</v>
      </c>
      <c r="G729" s="6" t="s">
        <v>90</v>
      </c>
      <c r="H729" s="6" t="s">
        <v>54</v>
      </c>
      <c r="I729" s="8" t="s">
        <v>40</v>
      </c>
      <c r="J729" s="9">
        <v>1</v>
      </c>
      <c r="K729" s="9">
        <v>216</v>
      </c>
      <c r="L729" s="9">
        <v>2023</v>
      </c>
      <c r="M729" s="8" t="s">
        <v>4820</v>
      </c>
      <c r="N729" s="8" t="s">
        <v>42</v>
      </c>
      <c r="O729" s="8" t="s">
        <v>43</v>
      </c>
      <c r="P729" s="6" t="s">
        <v>44</v>
      </c>
      <c r="Q729" s="8" t="s">
        <v>45</v>
      </c>
      <c r="R729" s="10" t="s">
        <v>4821</v>
      </c>
      <c r="S729" s="11" t="s">
        <v>4822</v>
      </c>
      <c r="T729" s="6"/>
      <c r="U729" s="24" t="str">
        <f>HYPERLINK("https://media.infra-m.ru/1900/1900721/cover/1900721.jpg", "Обложка")</f>
        <v>Обложка</v>
      </c>
      <c r="V729" s="24" t="str">
        <f>HYPERLINK("https://znanium.ru/catalog/product/1900721", "Ознакомиться")</f>
        <v>Ознакомиться</v>
      </c>
      <c r="W729" s="8" t="s">
        <v>94</v>
      </c>
      <c r="X729" s="6"/>
      <c r="Y729" s="6"/>
      <c r="Z729" s="6" t="s">
        <v>48</v>
      </c>
      <c r="AA729" s="6" t="s">
        <v>74</v>
      </c>
      <c r="AB729" s="8"/>
    </row>
    <row r="730" spans="1:28" s="4" customFormat="1" ht="42" customHeight="1">
      <c r="A730" s="5">
        <v>0</v>
      </c>
      <c r="B730" s="6" t="s">
        <v>4823</v>
      </c>
      <c r="C730" s="13">
        <v>990</v>
      </c>
      <c r="D730" s="8" t="s">
        <v>4824</v>
      </c>
      <c r="E730" s="8" t="s">
        <v>4825</v>
      </c>
      <c r="F730" s="8" t="s">
        <v>4826</v>
      </c>
      <c r="G730" s="6" t="s">
        <v>38</v>
      </c>
      <c r="H730" s="6" t="s">
        <v>54</v>
      </c>
      <c r="I730" s="8" t="s">
        <v>40</v>
      </c>
      <c r="J730" s="9">
        <v>1</v>
      </c>
      <c r="K730" s="9">
        <v>193</v>
      </c>
      <c r="L730" s="9">
        <v>2025</v>
      </c>
      <c r="M730" s="8" t="s">
        <v>4827</v>
      </c>
      <c r="N730" s="8" t="s">
        <v>42</v>
      </c>
      <c r="O730" s="8" t="s">
        <v>43</v>
      </c>
      <c r="P730" s="6" t="s">
        <v>44</v>
      </c>
      <c r="Q730" s="8" t="s">
        <v>45</v>
      </c>
      <c r="R730" s="10" t="s">
        <v>3460</v>
      </c>
      <c r="S730" s="11"/>
      <c r="T730" s="6"/>
      <c r="U730" s="24" t="str">
        <f>HYPERLINK("https://media.infra-m.ru/2161/2161237/cover/2161237.jpg", "Обложка")</f>
        <v>Обложка</v>
      </c>
      <c r="V730" s="24" t="str">
        <f>HYPERLINK("https://znanium.ru/catalog/product/2161237", "Ознакомиться")</f>
        <v>Ознакомиться</v>
      </c>
      <c r="W730" s="8" t="s">
        <v>1437</v>
      </c>
      <c r="X730" s="6" t="s">
        <v>367</v>
      </c>
      <c r="Y730" s="6"/>
      <c r="Z730" s="6" t="s">
        <v>48</v>
      </c>
      <c r="AA730" s="6" t="s">
        <v>84</v>
      </c>
      <c r="AB730" s="8"/>
    </row>
    <row r="731" spans="1:28" s="4" customFormat="1" ht="51.95" customHeight="1">
      <c r="A731" s="5">
        <v>0</v>
      </c>
      <c r="B731" s="6" t="s">
        <v>4828</v>
      </c>
      <c r="C731" s="7">
        <v>1094</v>
      </c>
      <c r="D731" s="8" t="s">
        <v>4829</v>
      </c>
      <c r="E731" s="8" t="s">
        <v>4830</v>
      </c>
      <c r="F731" s="8" t="s">
        <v>4831</v>
      </c>
      <c r="G731" s="6" t="s">
        <v>90</v>
      </c>
      <c r="H731" s="6" t="s">
        <v>68</v>
      </c>
      <c r="I731" s="8" t="s">
        <v>69</v>
      </c>
      <c r="J731" s="9">
        <v>1</v>
      </c>
      <c r="K731" s="9">
        <v>202</v>
      </c>
      <c r="L731" s="9">
        <v>2026</v>
      </c>
      <c r="M731" s="8" t="s">
        <v>4832</v>
      </c>
      <c r="N731" s="8" t="s">
        <v>42</v>
      </c>
      <c r="O731" s="8" t="s">
        <v>43</v>
      </c>
      <c r="P731" s="6" t="s">
        <v>58</v>
      </c>
      <c r="Q731" s="8" t="s">
        <v>45</v>
      </c>
      <c r="R731" s="10" t="s">
        <v>4833</v>
      </c>
      <c r="S731" s="11"/>
      <c r="T731" s="6"/>
      <c r="U731" s="24" t="str">
        <f>HYPERLINK("https://media.infra-m.ru/2221/2221240/cover/2221240.jpg", "Обложка")</f>
        <v>Обложка</v>
      </c>
      <c r="V731" s="24" t="str">
        <f>HYPERLINK("https://znanium.ru/catalog/product/2169040", "Ознакомиться")</f>
        <v>Ознакомиться</v>
      </c>
      <c r="W731" s="8" t="s">
        <v>2152</v>
      </c>
      <c r="X731" s="6"/>
      <c r="Y731" s="6"/>
      <c r="Z731" s="6"/>
      <c r="AA731" s="6" t="s">
        <v>111</v>
      </c>
      <c r="AB731" s="8"/>
    </row>
    <row r="732" spans="1:28" s="4" customFormat="1" ht="51.95" customHeight="1">
      <c r="A732" s="5">
        <v>0</v>
      </c>
      <c r="B732" s="6" t="s">
        <v>4834</v>
      </c>
      <c r="C732" s="7">
        <v>1760</v>
      </c>
      <c r="D732" s="8" t="s">
        <v>4835</v>
      </c>
      <c r="E732" s="8" t="s">
        <v>4830</v>
      </c>
      <c r="F732" s="8" t="s">
        <v>1070</v>
      </c>
      <c r="G732" s="6" t="s">
        <v>90</v>
      </c>
      <c r="H732" s="6" t="s">
        <v>54</v>
      </c>
      <c r="I732" s="8" t="s">
        <v>40</v>
      </c>
      <c r="J732" s="9">
        <v>1</v>
      </c>
      <c r="K732" s="9">
        <v>337</v>
      </c>
      <c r="L732" s="9">
        <v>2026</v>
      </c>
      <c r="M732" s="8" t="s">
        <v>4836</v>
      </c>
      <c r="N732" s="8" t="s">
        <v>42</v>
      </c>
      <c r="O732" s="8" t="s">
        <v>43</v>
      </c>
      <c r="P732" s="6" t="s">
        <v>44</v>
      </c>
      <c r="Q732" s="8" t="s">
        <v>45</v>
      </c>
      <c r="R732" s="10" t="s">
        <v>4837</v>
      </c>
      <c r="S732" s="11" t="s">
        <v>4838</v>
      </c>
      <c r="T732" s="6"/>
      <c r="U732" s="24" t="str">
        <f>HYPERLINK("https://media.infra-m.ru/2221/2221361/cover/2221361.jpg", "Обложка")</f>
        <v>Обложка</v>
      </c>
      <c r="V732" s="24" t="str">
        <f>HYPERLINK("https://znanium.ru/catalog/product/2221361", "Ознакомиться")</f>
        <v>Ознакомиться</v>
      </c>
      <c r="W732" s="8" t="s">
        <v>73</v>
      </c>
      <c r="X732" s="6"/>
      <c r="Y732" s="6"/>
      <c r="Z732" s="6" t="s">
        <v>48</v>
      </c>
      <c r="AA732" s="6" t="s">
        <v>223</v>
      </c>
      <c r="AB732" s="8"/>
    </row>
    <row r="733" spans="1:28" s="4" customFormat="1" ht="51.95" customHeight="1">
      <c r="A733" s="5">
        <v>0</v>
      </c>
      <c r="B733" s="6" t="s">
        <v>4839</v>
      </c>
      <c r="C733" s="7">
        <v>1200</v>
      </c>
      <c r="D733" s="8" t="s">
        <v>4840</v>
      </c>
      <c r="E733" s="8" t="s">
        <v>4841</v>
      </c>
      <c r="F733" s="8" t="s">
        <v>1780</v>
      </c>
      <c r="G733" s="6" t="s">
        <v>90</v>
      </c>
      <c r="H733" s="6" t="s">
        <v>54</v>
      </c>
      <c r="I733" s="8" t="s">
        <v>40</v>
      </c>
      <c r="J733" s="9">
        <v>1</v>
      </c>
      <c r="K733" s="9">
        <v>225</v>
      </c>
      <c r="L733" s="9">
        <v>2026</v>
      </c>
      <c r="M733" s="8" t="s">
        <v>4842</v>
      </c>
      <c r="N733" s="8" t="s">
        <v>535</v>
      </c>
      <c r="O733" s="8" t="s">
        <v>1048</v>
      </c>
      <c r="P733" s="6" t="s">
        <v>44</v>
      </c>
      <c r="Q733" s="8" t="s">
        <v>45</v>
      </c>
      <c r="R733" s="10" t="s">
        <v>1658</v>
      </c>
      <c r="S733" s="11" t="s">
        <v>4843</v>
      </c>
      <c r="T733" s="6"/>
      <c r="U733" s="24" t="str">
        <f>HYPERLINK("https://media.infra-m.ru/2217/2217479/cover/2217479.jpg", "Обложка")</f>
        <v>Обложка</v>
      </c>
      <c r="V733" s="24" t="str">
        <f>HYPERLINK("https://znanium.ru/catalog/product/2217479", "Ознакомиться")</f>
        <v>Ознакомиться</v>
      </c>
      <c r="W733" s="8" t="s">
        <v>1067</v>
      </c>
      <c r="X733" s="6"/>
      <c r="Y733" s="6"/>
      <c r="Z733" s="6" t="s">
        <v>48</v>
      </c>
      <c r="AA733" s="6" t="s">
        <v>102</v>
      </c>
      <c r="AB733" s="8"/>
    </row>
    <row r="734" spans="1:28" s="4" customFormat="1" ht="51.95" customHeight="1">
      <c r="A734" s="5">
        <v>0</v>
      </c>
      <c r="B734" s="6" t="s">
        <v>4844</v>
      </c>
      <c r="C734" s="7">
        <v>1014</v>
      </c>
      <c r="D734" s="8" t="s">
        <v>4845</v>
      </c>
      <c r="E734" s="8" t="s">
        <v>4846</v>
      </c>
      <c r="F734" s="8" t="s">
        <v>4418</v>
      </c>
      <c r="G734" s="6" t="s">
        <v>38</v>
      </c>
      <c r="H734" s="6" t="s">
        <v>54</v>
      </c>
      <c r="I734" s="8" t="s">
        <v>40</v>
      </c>
      <c r="J734" s="9">
        <v>1</v>
      </c>
      <c r="K734" s="9">
        <v>224</v>
      </c>
      <c r="L734" s="9">
        <v>2023</v>
      </c>
      <c r="M734" s="8" t="s">
        <v>4847</v>
      </c>
      <c r="N734" s="8" t="s">
        <v>125</v>
      </c>
      <c r="O734" s="8" t="s">
        <v>126</v>
      </c>
      <c r="P734" s="6" t="s">
        <v>44</v>
      </c>
      <c r="Q734" s="8" t="s">
        <v>45</v>
      </c>
      <c r="R734" s="10" t="s">
        <v>4848</v>
      </c>
      <c r="S734" s="11" t="s">
        <v>4849</v>
      </c>
      <c r="T734" s="6"/>
      <c r="U734" s="24" t="str">
        <f>HYPERLINK("https://media.infra-m.ru/2021/2021435/cover/2021435.jpg", "Обложка")</f>
        <v>Обложка</v>
      </c>
      <c r="V734" s="24" t="str">
        <f>HYPERLINK("https://znanium.ru/catalog/product/961529", "Ознакомиться")</f>
        <v>Ознакомиться</v>
      </c>
      <c r="W734" s="8"/>
      <c r="X734" s="6"/>
      <c r="Y734" s="6"/>
      <c r="Z734" s="6" t="s">
        <v>48</v>
      </c>
      <c r="AA734" s="6" t="s">
        <v>740</v>
      </c>
      <c r="AB734" s="8"/>
    </row>
    <row r="735" spans="1:28" s="4" customFormat="1" ht="51.95" customHeight="1">
      <c r="A735" s="5">
        <v>0</v>
      </c>
      <c r="B735" s="6" t="s">
        <v>4850</v>
      </c>
      <c r="C735" s="7">
        <v>1880</v>
      </c>
      <c r="D735" s="8" t="s">
        <v>4851</v>
      </c>
      <c r="E735" s="8" t="s">
        <v>4852</v>
      </c>
      <c r="F735" s="8" t="s">
        <v>4853</v>
      </c>
      <c r="G735" s="6" t="s">
        <v>38</v>
      </c>
      <c r="H735" s="6" t="s">
        <v>54</v>
      </c>
      <c r="I735" s="8" t="s">
        <v>79</v>
      </c>
      <c r="J735" s="9">
        <v>1</v>
      </c>
      <c r="K735" s="9">
        <v>364</v>
      </c>
      <c r="L735" s="9">
        <v>2025</v>
      </c>
      <c r="M735" s="8" t="s">
        <v>4854</v>
      </c>
      <c r="N735" s="8" t="s">
        <v>56</v>
      </c>
      <c r="O735" s="8" t="s">
        <v>57</v>
      </c>
      <c r="P735" s="6" t="s">
        <v>58</v>
      </c>
      <c r="Q735" s="8" t="s">
        <v>45</v>
      </c>
      <c r="R735" s="10" t="s">
        <v>4855</v>
      </c>
      <c r="S735" s="11"/>
      <c r="T735" s="6"/>
      <c r="U735" s="24" t="str">
        <f>HYPERLINK("https://media.infra-m.ru/2156/2156469/cover/2156469.jpg", "Обложка")</f>
        <v>Обложка</v>
      </c>
      <c r="V735" s="24" t="str">
        <f>HYPERLINK("https://znanium.ru/catalog/product/2156469", "Ознакомиться")</f>
        <v>Ознакомиться</v>
      </c>
      <c r="W735" s="8" t="s">
        <v>82</v>
      </c>
      <c r="X735" s="6" t="s">
        <v>2828</v>
      </c>
      <c r="Y735" s="6"/>
      <c r="Z735" s="6"/>
      <c r="AA735" s="6" t="s">
        <v>84</v>
      </c>
      <c r="AB735" s="8" t="s">
        <v>85</v>
      </c>
    </row>
    <row r="736" spans="1:28" s="4" customFormat="1" ht="51.95" customHeight="1">
      <c r="A736" s="5">
        <v>0</v>
      </c>
      <c r="B736" s="6" t="s">
        <v>4856</v>
      </c>
      <c r="C736" s="7">
        <v>1410</v>
      </c>
      <c r="D736" s="8" t="s">
        <v>4857</v>
      </c>
      <c r="E736" s="8" t="s">
        <v>4858</v>
      </c>
      <c r="F736" s="8" t="s">
        <v>4859</v>
      </c>
      <c r="G736" s="6" t="s">
        <v>38</v>
      </c>
      <c r="H736" s="6" t="s">
        <v>54</v>
      </c>
      <c r="I736" s="8" t="s">
        <v>568</v>
      </c>
      <c r="J736" s="9">
        <v>1</v>
      </c>
      <c r="K736" s="9">
        <v>270</v>
      </c>
      <c r="L736" s="9">
        <v>2026</v>
      </c>
      <c r="M736" s="8" t="s">
        <v>4860</v>
      </c>
      <c r="N736" s="8" t="s">
        <v>42</v>
      </c>
      <c r="O736" s="8" t="s">
        <v>169</v>
      </c>
      <c r="P736" s="6" t="s">
        <v>44</v>
      </c>
      <c r="Q736" s="8" t="s">
        <v>45</v>
      </c>
      <c r="R736" s="10" t="s">
        <v>4861</v>
      </c>
      <c r="S736" s="11" t="s">
        <v>4862</v>
      </c>
      <c r="T736" s="6"/>
      <c r="U736" s="24" t="str">
        <f>HYPERLINK("https://media.infra-m.ru/2216/2216944/cover/2216944.jpg", "Обложка")</f>
        <v>Обложка</v>
      </c>
      <c r="V736" s="24" t="str">
        <f>HYPERLINK("https://znanium.ru/catalog/product/2216944", "Ознакомиться")</f>
        <v>Ознакомиться</v>
      </c>
      <c r="W736" s="8" t="s">
        <v>1180</v>
      </c>
      <c r="X736" s="6" t="s">
        <v>61</v>
      </c>
      <c r="Y736" s="6"/>
      <c r="Z736" s="6"/>
      <c r="AA736" s="6" t="s">
        <v>62</v>
      </c>
      <c r="AB736" s="8"/>
    </row>
    <row r="737" spans="1:28" s="4" customFormat="1" ht="51.95" customHeight="1">
      <c r="A737" s="5">
        <v>0</v>
      </c>
      <c r="B737" s="6" t="s">
        <v>4863</v>
      </c>
      <c r="C737" s="7">
        <v>1244</v>
      </c>
      <c r="D737" s="8" t="s">
        <v>4864</v>
      </c>
      <c r="E737" s="8" t="s">
        <v>4865</v>
      </c>
      <c r="F737" s="8" t="s">
        <v>4866</v>
      </c>
      <c r="G737" s="6" t="s">
        <v>90</v>
      </c>
      <c r="H737" s="6" t="s">
        <v>299</v>
      </c>
      <c r="I737" s="8" t="s">
        <v>40</v>
      </c>
      <c r="J737" s="9">
        <v>1</v>
      </c>
      <c r="K737" s="9">
        <v>240</v>
      </c>
      <c r="L737" s="9">
        <v>2026</v>
      </c>
      <c r="M737" s="8" t="s">
        <v>4867</v>
      </c>
      <c r="N737" s="8" t="s">
        <v>56</v>
      </c>
      <c r="O737" s="8" t="s">
        <v>343</v>
      </c>
      <c r="P737" s="6" t="s">
        <v>58</v>
      </c>
      <c r="Q737" s="8" t="s">
        <v>45</v>
      </c>
      <c r="R737" s="10" t="s">
        <v>4868</v>
      </c>
      <c r="S737" s="11" t="s">
        <v>93</v>
      </c>
      <c r="T737" s="6"/>
      <c r="U737" s="24" t="str">
        <f>HYPERLINK("https://media.infra-m.ru/2213/2213703/cover/2213703.jpg", "Обложка")</f>
        <v>Обложка</v>
      </c>
      <c r="V737" s="24" t="str">
        <f>HYPERLINK("https://znanium.ru/catalog/product/2130168", "Ознакомиться")</f>
        <v>Ознакомиться</v>
      </c>
      <c r="W737" s="8" t="s">
        <v>4166</v>
      </c>
      <c r="X737" s="6"/>
      <c r="Y737" s="6"/>
      <c r="Z737" s="6"/>
      <c r="AA737" s="6" t="s">
        <v>810</v>
      </c>
      <c r="AB737" s="8"/>
    </row>
    <row r="738" spans="1:28" s="4" customFormat="1" ht="51.95" customHeight="1">
      <c r="A738" s="5">
        <v>0</v>
      </c>
      <c r="B738" s="6" t="s">
        <v>4869</v>
      </c>
      <c r="C738" s="7">
        <v>1560</v>
      </c>
      <c r="D738" s="8" t="s">
        <v>4870</v>
      </c>
      <c r="E738" s="8" t="s">
        <v>4871</v>
      </c>
      <c r="F738" s="8" t="s">
        <v>4872</v>
      </c>
      <c r="G738" s="6" t="s">
        <v>90</v>
      </c>
      <c r="H738" s="6" t="s">
        <v>54</v>
      </c>
      <c r="I738" s="8" t="s">
        <v>40</v>
      </c>
      <c r="J738" s="9">
        <v>1</v>
      </c>
      <c r="K738" s="9">
        <v>281</v>
      </c>
      <c r="L738" s="9">
        <v>2026</v>
      </c>
      <c r="M738" s="8" t="s">
        <v>4873</v>
      </c>
      <c r="N738" s="8" t="s">
        <v>56</v>
      </c>
      <c r="O738" s="8" t="s">
        <v>57</v>
      </c>
      <c r="P738" s="6" t="s">
        <v>44</v>
      </c>
      <c r="Q738" s="8" t="s">
        <v>45</v>
      </c>
      <c r="R738" s="10" t="s">
        <v>4874</v>
      </c>
      <c r="S738" s="11" t="s">
        <v>4875</v>
      </c>
      <c r="T738" s="6"/>
      <c r="U738" s="24" t="str">
        <f>HYPERLINK("https://media.infra-m.ru/2211/2211025/cover/2211025.jpg", "Обложка")</f>
        <v>Обложка</v>
      </c>
      <c r="V738" s="24" t="str">
        <f>HYPERLINK("https://znanium.ru/catalog/product/2211025", "Ознакомиться")</f>
        <v>Ознакомиться</v>
      </c>
      <c r="W738" s="8" t="s">
        <v>4876</v>
      </c>
      <c r="X738" s="6"/>
      <c r="Y738" s="6"/>
      <c r="Z738" s="6"/>
      <c r="AA738" s="6" t="s">
        <v>223</v>
      </c>
      <c r="AB738" s="8" t="s">
        <v>860</v>
      </c>
    </row>
    <row r="739" spans="1:28" s="4" customFormat="1" ht="51.95" customHeight="1">
      <c r="A739" s="5">
        <v>0</v>
      </c>
      <c r="B739" s="6" t="s">
        <v>4877</v>
      </c>
      <c r="C739" s="7">
        <v>1524</v>
      </c>
      <c r="D739" s="8" t="s">
        <v>4878</v>
      </c>
      <c r="E739" s="8" t="s">
        <v>4879</v>
      </c>
      <c r="F739" s="8" t="s">
        <v>4880</v>
      </c>
      <c r="G739" s="6" t="s">
        <v>67</v>
      </c>
      <c r="H739" s="6" t="s">
        <v>39</v>
      </c>
      <c r="I739" s="8" t="s">
        <v>40</v>
      </c>
      <c r="J739" s="9">
        <v>1</v>
      </c>
      <c r="K739" s="9">
        <v>304</v>
      </c>
      <c r="L739" s="9">
        <v>2025</v>
      </c>
      <c r="M739" s="8" t="s">
        <v>4881</v>
      </c>
      <c r="N739" s="8" t="s">
        <v>125</v>
      </c>
      <c r="O739" s="8" t="s">
        <v>1630</v>
      </c>
      <c r="P739" s="6" t="s">
        <v>44</v>
      </c>
      <c r="Q739" s="8" t="s">
        <v>45</v>
      </c>
      <c r="R739" s="10" t="s">
        <v>4882</v>
      </c>
      <c r="S739" s="11" t="s">
        <v>3257</v>
      </c>
      <c r="T739" s="6"/>
      <c r="U739" s="24" t="str">
        <f>HYPERLINK("https://media.infra-m.ru/2188/2188210/cover/2188210.jpg", "Обложка")</f>
        <v>Обложка</v>
      </c>
      <c r="V739" s="24" t="str">
        <f>HYPERLINK("https://znanium.ru/catalog/product/2188210", "Ознакомиться")</f>
        <v>Ознакомиться</v>
      </c>
      <c r="W739" s="8" t="s">
        <v>1392</v>
      </c>
      <c r="X739" s="6"/>
      <c r="Y739" s="6"/>
      <c r="Z739" s="6"/>
      <c r="AA739" s="6" t="s">
        <v>2008</v>
      </c>
      <c r="AB739" s="8"/>
    </row>
    <row r="740" spans="1:28" s="4" customFormat="1" ht="51.95" customHeight="1">
      <c r="A740" s="5">
        <v>0</v>
      </c>
      <c r="B740" s="6" t="s">
        <v>4883</v>
      </c>
      <c r="C740" s="13">
        <v>994</v>
      </c>
      <c r="D740" s="8" t="s">
        <v>4884</v>
      </c>
      <c r="E740" s="8" t="s">
        <v>4885</v>
      </c>
      <c r="F740" s="8" t="s">
        <v>4886</v>
      </c>
      <c r="G740" s="6" t="s">
        <v>38</v>
      </c>
      <c r="H740" s="6" t="s">
        <v>54</v>
      </c>
      <c r="I740" s="8" t="s">
        <v>40</v>
      </c>
      <c r="J740" s="9">
        <v>1</v>
      </c>
      <c r="K740" s="9">
        <v>192</v>
      </c>
      <c r="L740" s="9">
        <v>2026</v>
      </c>
      <c r="M740" s="8" t="s">
        <v>4887</v>
      </c>
      <c r="N740" s="8" t="s">
        <v>125</v>
      </c>
      <c r="O740" s="8" t="s">
        <v>126</v>
      </c>
      <c r="P740" s="6" t="s">
        <v>44</v>
      </c>
      <c r="Q740" s="8" t="s">
        <v>45</v>
      </c>
      <c r="R740" s="10" t="s">
        <v>4888</v>
      </c>
      <c r="S740" s="11" t="s">
        <v>4889</v>
      </c>
      <c r="T740" s="6"/>
      <c r="U740" s="24" t="str">
        <f>HYPERLINK("https://media.infra-m.ru/2218/2218677/cover/2218677.jpg", "Обложка")</f>
        <v>Обложка</v>
      </c>
      <c r="V740" s="24" t="str">
        <f>HYPERLINK("https://znanium.ru/catalog/product/987878", "Ознакомиться")</f>
        <v>Ознакомиться</v>
      </c>
      <c r="W740" s="8"/>
      <c r="X740" s="6"/>
      <c r="Y740" s="6"/>
      <c r="Z740" s="6"/>
      <c r="AA740" s="6" t="s">
        <v>223</v>
      </c>
      <c r="AB740" s="8"/>
    </row>
    <row r="741" spans="1:28" s="4" customFormat="1" ht="51.95" customHeight="1">
      <c r="A741" s="5">
        <v>0</v>
      </c>
      <c r="B741" s="6" t="s">
        <v>4890</v>
      </c>
      <c r="C741" s="7">
        <v>1550</v>
      </c>
      <c r="D741" s="8" t="s">
        <v>4891</v>
      </c>
      <c r="E741" s="8" t="s">
        <v>4892</v>
      </c>
      <c r="F741" s="8" t="s">
        <v>4893</v>
      </c>
      <c r="G741" s="6" t="s">
        <v>90</v>
      </c>
      <c r="H741" s="6" t="s">
        <v>54</v>
      </c>
      <c r="I741" s="8" t="s">
        <v>40</v>
      </c>
      <c r="J741" s="9">
        <v>1</v>
      </c>
      <c r="K741" s="9">
        <v>292</v>
      </c>
      <c r="L741" s="9">
        <v>2026</v>
      </c>
      <c r="M741" s="8" t="s">
        <v>4894</v>
      </c>
      <c r="N741" s="8" t="s">
        <v>125</v>
      </c>
      <c r="O741" s="8" t="s">
        <v>126</v>
      </c>
      <c r="P741" s="6" t="s">
        <v>58</v>
      </c>
      <c r="Q741" s="8" t="s">
        <v>45</v>
      </c>
      <c r="R741" s="10" t="s">
        <v>3200</v>
      </c>
      <c r="S741" s="11" t="s">
        <v>4895</v>
      </c>
      <c r="T741" s="6"/>
      <c r="U741" s="24" t="str">
        <f>HYPERLINK("https://media.infra-m.ru/2216/2216040/cover/2216040.jpg", "Обложка")</f>
        <v>Обложка</v>
      </c>
      <c r="V741" s="24" t="str">
        <f>HYPERLINK("https://znanium.ru/catalog/product/2216040", "Ознакомиться")</f>
        <v>Ознакомиться</v>
      </c>
      <c r="W741" s="8" t="s">
        <v>3133</v>
      </c>
      <c r="X741" s="6"/>
      <c r="Y741" s="6"/>
      <c r="Z741" s="6" t="s">
        <v>48</v>
      </c>
      <c r="AA741" s="6" t="s">
        <v>563</v>
      </c>
      <c r="AB741" s="8"/>
    </row>
    <row r="742" spans="1:28" s="4" customFormat="1" ht="51.95" customHeight="1">
      <c r="A742" s="5">
        <v>0</v>
      </c>
      <c r="B742" s="6" t="s">
        <v>4896</v>
      </c>
      <c r="C742" s="7">
        <v>1250</v>
      </c>
      <c r="D742" s="8" t="s">
        <v>4897</v>
      </c>
      <c r="E742" s="8" t="s">
        <v>4898</v>
      </c>
      <c r="F742" s="8" t="s">
        <v>3403</v>
      </c>
      <c r="G742" s="6" t="s">
        <v>90</v>
      </c>
      <c r="H742" s="6" t="s">
        <v>824</v>
      </c>
      <c r="I742" s="8"/>
      <c r="J742" s="9">
        <v>1</v>
      </c>
      <c r="K742" s="9">
        <v>240</v>
      </c>
      <c r="L742" s="9">
        <v>2025</v>
      </c>
      <c r="M742" s="8" t="s">
        <v>4899</v>
      </c>
      <c r="N742" s="8" t="s">
        <v>42</v>
      </c>
      <c r="O742" s="8" t="s">
        <v>1370</v>
      </c>
      <c r="P742" s="6" t="s">
        <v>58</v>
      </c>
      <c r="Q742" s="8" t="s">
        <v>45</v>
      </c>
      <c r="R742" s="10" t="s">
        <v>4900</v>
      </c>
      <c r="S742" s="11"/>
      <c r="T742" s="6"/>
      <c r="U742" s="24" t="str">
        <f>HYPERLINK("https://media.infra-m.ru/2210/2210262/cover/2210262.jpg", "Обложка")</f>
        <v>Обложка</v>
      </c>
      <c r="V742" s="24" t="str">
        <f>HYPERLINK("https://znanium.ru/catalog/product/2210262", "Ознакомиться")</f>
        <v>Ознакомиться</v>
      </c>
      <c r="W742" s="8" t="s">
        <v>172</v>
      </c>
      <c r="X742" s="6"/>
      <c r="Y742" s="6" t="s">
        <v>30</v>
      </c>
      <c r="Z742" s="6"/>
      <c r="AA742" s="6" t="s">
        <v>766</v>
      </c>
      <c r="AB742" s="8"/>
    </row>
    <row r="743" spans="1:28" s="4" customFormat="1" ht="51.95" customHeight="1">
      <c r="A743" s="5">
        <v>0</v>
      </c>
      <c r="B743" s="6" t="s">
        <v>4901</v>
      </c>
      <c r="C743" s="7">
        <v>1490</v>
      </c>
      <c r="D743" s="8" t="s">
        <v>4902</v>
      </c>
      <c r="E743" s="8" t="s">
        <v>4903</v>
      </c>
      <c r="F743" s="8" t="s">
        <v>4904</v>
      </c>
      <c r="G743" s="6" t="s">
        <v>90</v>
      </c>
      <c r="H743" s="6" t="s">
        <v>54</v>
      </c>
      <c r="I743" s="8" t="s">
        <v>40</v>
      </c>
      <c r="J743" s="9">
        <v>1</v>
      </c>
      <c r="K743" s="9">
        <v>297</v>
      </c>
      <c r="L743" s="9">
        <v>2025</v>
      </c>
      <c r="M743" s="8" t="s">
        <v>4905</v>
      </c>
      <c r="N743" s="8" t="s">
        <v>125</v>
      </c>
      <c r="O743" s="8" t="s">
        <v>1630</v>
      </c>
      <c r="P743" s="6" t="s">
        <v>44</v>
      </c>
      <c r="Q743" s="8" t="s">
        <v>45</v>
      </c>
      <c r="R743" s="10" t="s">
        <v>4906</v>
      </c>
      <c r="S743" s="11"/>
      <c r="T743" s="6" t="s">
        <v>118</v>
      </c>
      <c r="U743" s="24" t="str">
        <f>HYPERLINK("https://media.infra-m.ru/2174/2174462/cover/2174462.jpg", "Обложка")</f>
        <v>Обложка</v>
      </c>
      <c r="V743" s="24" t="str">
        <f>HYPERLINK("https://znanium.ru/catalog/product/2174462", "Ознакомиться")</f>
        <v>Ознакомиться</v>
      </c>
      <c r="W743" s="8" t="s">
        <v>1831</v>
      </c>
      <c r="X743" s="6"/>
      <c r="Y743" s="6"/>
      <c r="Z743" s="6" t="s">
        <v>207</v>
      </c>
      <c r="AA743" s="6" t="s">
        <v>354</v>
      </c>
      <c r="AB743" s="8"/>
    </row>
    <row r="744" spans="1:28" s="4" customFormat="1" ht="51.95" customHeight="1">
      <c r="A744" s="5">
        <v>0</v>
      </c>
      <c r="B744" s="6" t="s">
        <v>4907</v>
      </c>
      <c r="C744" s="7">
        <v>1250</v>
      </c>
      <c r="D744" s="8" t="s">
        <v>4908</v>
      </c>
      <c r="E744" s="8" t="s">
        <v>4909</v>
      </c>
      <c r="F744" s="8" t="s">
        <v>4910</v>
      </c>
      <c r="G744" s="6" t="s">
        <v>90</v>
      </c>
      <c r="H744" s="6" t="s">
        <v>54</v>
      </c>
      <c r="I744" s="8" t="s">
        <v>40</v>
      </c>
      <c r="J744" s="9">
        <v>1</v>
      </c>
      <c r="K744" s="9">
        <v>272</v>
      </c>
      <c r="L744" s="9">
        <v>2024</v>
      </c>
      <c r="M744" s="8" t="s">
        <v>4911</v>
      </c>
      <c r="N744" s="8" t="s">
        <v>42</v>
      </c>
      <c r="O744" s="8" t="s">
        <v>1370</v>
      </c>
      <c r="P744" s="6" t="s">
        <v>58</v>
      </c>
      <c r="Q744" s="8" t="s">
        <v>45</v>
      </c>
      <c r="R744" s="10" t="s">
        <v>4912</v>
      </c>
      <c r="S744" s="11" t="s">
        <v>4913</v>
      </c>
      <c r="T744" s="6"/>
      <c r="U744" s="24" t="str">
        <f>HYPERLINK("https://media.infra-m.ru/2103/2103210/cover/2103210.jpg", "Обложка")</f>
        <v>Обложка</v>
      </c>
      <c r="V744" s="24" t="str">
        <f>HYPERLINK("https://znanium.ru/catalog/product/2103210", "Ознакомиться")</f>
        <v>Ознакомиться</v>
      </c>
      <c r="W744" s="8" t="s">
        <v>180</v>
      </c>
      <c r="X744" s="6"/>
      <c r="Y744" s="6" t="s">
        <v>30</v>
      </c>
      <c r="Z744" s="6"/>
      <c r="AA744" s="6" t="s">
        <v>1644</v>
      </c>
      <c r="AB744" s="8"/>
    </row>
    <row r="745" spans="1:28" s="4" customFormat="1" ht="51.95" customHeight="1">
      <c r="A745" s="5">
        <v>0</v>
      </c>
      <c r="B745" s="6" t="s">
        <v>4914</v>
      </c>
      <c r="C745" s="7">
        <v>1994</v>
      </c>
      <c r="D745" s="8" t="s">
        <v>4915</v>
      </c>
      <c r="E745" s="8" t="s">
        <v>4916</v>
      </c>
      <c r="F745" s="8" t="s">
        <v>4917</v>
      </c>
      <c r="G745" s="6" t="s">
        <v>90</v>
      </c>
      <c r="H745" s="6" t="s">
        <v>299</v>
      </c>
      <c r="I745" s="8" t="s">
        <v>40</v>
      </c>
      <c r="J745" s="9">
        <v>1</v>
      </c>
      <c r="K745" s="9">
        <v>384</v>
      </c>
      <c r="L745" s="9">
        <v>2026</v>
      </c>
      <c r="M745" s="8" t="s">
        <v>4918</v>
      </c>
      <c r="N745" s="8" t="s">
        <v>42</v>
      </c>
      <c r="O745" s="8" t="s">
        <v>169</v>
      </c>
      <c r="P745" s="6" t="s">
        <v>58</v>
      </c>
      <c r="Q745" s="8" t="s">
        <v>45</v>
      </c>
      <c r="R745" s="10" t="s">
        <v>4919</v>
      </c>
      <c r="S745" s="11" t="s">
        <v>4920</v>
      </c>
      <c r="T745" s="6"/>
      <c r="U745" s="24" t="str">
        <f>HYPERLINK("https://media.infra-m.ru/2216/2216888/cover/2216888.jpg", "Обложка")</f>
        <v>Обложка</v>
      </c>
      <c r="V745" s="24" t="str">
        <f>HYPERLINK("https://znanium.ru/catalog/product/2155296", "Ознакомиться")</f>
        <v>Ознакомиться</v>
      </c>
      <c r="W745" s="8" t="s">
        <v>73</v>
      </c>
      <c r="X745" s="6"/>
      <c r="Y745" s="6"/>
      <c r="Z745" s="6" t="s">
        <v>48</v>
      </c>
      <c r="AA745" s="6" t="s">
        <v>1652</v>
      </c>
      <c r="AB745" s="8"/>
    </row>
    <row r="746" spans="1:28" s="4" customFormat="1" ht="51.95" customHeight="1">
      <c r="A746" s="5">
        <v>0</v>
      </c>
      <c r="B746" s="6" t="s">
        <v>4921</v>
      </c>
      <c r="C746" s="7">
        <v>1444</v>
      </c>
      <c r="D746" s="8" t="s">
        <v>4922</v>
      </c>
      <c r="E746" s="8" t="s">
        <v>4923</v>
      </c>
      <c r="F746" s="8" t="s">
        <v>4924</v>
      </c>
      <c r="G746" s="6" t="s">
        <v>90</v>
      </c>
      <c r="H746" s="6" t="s">
        <v>299</v>
      </c>
      <c r="I746" s="8" t="s">
        <v>40</v>
      </c>
      <c r="J746" s="9">
        <v>1</v>
      </c>
      <c r="K746" s="9">
        <v>288</v>
      </c>
      <c r="L746" s="9">
        <v>2025</v>
      </c>
      <c r="M746" s="8" t="s">
        <v>4925</v>
      </c>
      <c r="N746" s="8" t="s">
        <v>56</v>
      </c>
      <c r="O746" s="8" t="s">
        <v>343</v>
      </c>
      <c r="P746" s="6" t="s">
        <v>58</v>
      </c>
      <c r="Q746" s="8" t="s">
        <v>45</v>
      </c>
      <c r="R746" s="10" t="s">
        <v>4926</v>
      </c>
      <c r="S746" s="11" t="s">
        <v>93</v>
      </c>
      <c r="T746" s="6"/>
      <c r="U746" s="24" t="str">
        <f>HYPERLINK("https://media.infra-m.ru/2165/2165403/cover/2165403.jpg", "Обложка")</f>
        <v>Обложка</v>
      </c>
      <c r="V746" s="24" t="str">
        <f>HYPERLINK("https://znanium.ru/catalog/product/2150333", "Ознакомиться")</f>
        <v>Ознакомиться</v>
      </c>
      <c r="W746" s="8" t="s">
        <v>4166</v>
      </c>
      <c r="X746" s="6"/>
      <c r="Y746" s="6"/>
      <c r="Z746" s="6"/>
      <c r="AA746" s="6" t="s">
        <v>988</v>
      </c>
      <c r="AB746" s="8"/>
    </row>
    <row r="747" spans="1:28" s="4" customFormat="1" ht="51.95" customHeight="1">
      <c r="A747" s="5">
        <v>0</v>
      </c>
      <c r="B747" s="6" t="s">
        <v>4927</v>
      </c>
      <c r="C747" s="13">
        <v>574</v>
      </c>
      <c r="D747" s="8" t="s">
        <v>4928</v>
      </c>
      <c r="E747" s="8" t="s">
        <v>4929</v>
      </c>
      <c r="F747" s="8" t="s">
        <v>4930</v>
      </c>
      <c r="G747" s="6" t="s">
        <v>67</v>
      </c>
      <c r="H747" s="6" t="s">
        <v>39</v>
      </c>
      <c r="I747" s="8" t="s">
        <v>40</v>
      </c>
      <c r="J747" s="9">
        <v>1</v>
      </c>
      <c r="K747" s="9">
        <v>126</v>
      </c>
      <c r="L747" s="9">
        <v>2023</v>
      </c>
      <c r="M747" s="8" t="s">
        <v>4931</v>
      </c>
      <c r="N747" s="8" t="s">
        <v>535</v>
      </c>
      <c r="O747" s="8" t="s">
        <v>1048</v>
      </c>
      <c r="P747" s="6" t="s">
        <v>44</v>
      </c>
      <c r="Q747" s="8" t="s">
        <v>45</v>
      </c>
      <c r="R747" s="10" t="s">
        <v>4932</v>
      </c>
      <c r="S747" s="11" t="s">
        <v>4933</v>
      </c>
      <c r="T747" s="6"/>
      <c r="U747" s="24" t="str">
        <f>HYPERLINK("https://media.infra-m.ru/2021/2021468/cover/2021468.jpg", "Обложка")</f>
        <v>Обложка</v>
      </c>
      <c r="V747" s="24" t="str">
        <f>HYPERLINK("https://znanium.ru/catalog/product/1042596", "Ознакомиться")</f>
        <v>Ознакомиться</v>
      </c>
      <c r="W747" s="8" t="s">
        <v>4934</v>
      </c>
      <c r="X747" s="6"/>
      <c r="Y747" s="6"/>
      <c r="Z747" s="6" t="s">
        <v>207</v>
      </c>
      <c r="AA747" s="6" t="s">
        <v>111</v>
      </c>
      <c r="AB747" s="8"/>
    </row>
    <row r="748" spans="1:28" s="4" customFormat="1" ht="51.95" customHeight="1">
      <c r="A748" s="5">
        <v>0</v>
      </c>
      <c r="B748" s="6" t="s">
        <v>4935</v>
      </c>
      <c r="C748" s="7">
        <v>1760</v>
      </c>
      <c r="D748" s="8" t="s">
        <v>4936</v>
      </c>
      <c r="E748" s="8" t="s">
        <v>4937</v>
      </c>
      <c r="F748" s="8" t="s">
        <v>4938</v>
      </c>
      <c r="G748" s="6" t="s">
        <v>90</v>
      </c>
      <c r="H748" s="6" t="s">
        <v>54</v>
      </c>
      <c r="I748" s="8" t="s">
        <v>40</v>
      </c>
      <c r="J748" s="9">
        <v>1</v>
      </c>
      <c r="K748" s="9">
        <v>338</v>
      </c>
      <c r="L748" s="9">
        <v>2025</v>
      </c>
      <c r="M748" s="8" t="s">
        <v>4939</v>
      </c>
      <c r="N748" s="8" t="s">
        <v>42</v>
      </c>
      <c r="O748" s="8" t="s">
        <v>169</v>
      </c>
      <c r="P748" s="6" t="s">
        <v>44</v>
      </c>
      <c r="Q748" s="8" t="s">
        <v>45</v>
      </c>
      <c r="R748" s="10" t="s">
        <v>4940</v>
      </c>
      <c r="S748" s="11" t="s">
        <v>4941</v>
      </c>
      <c r="T748" s="6"/>
      <c r="U748" s="24" t="str">
        <f>HYPERLINK("https://media.infra-m.ru/2198/2198839/cover/2198839.jpg", "Обложка")</f>
        <v>Обложка</v>
      </c>
      <c r="V748" s="24" t="str">
        <f>HYPERLINK("https://znanium.ru/catalog/product/2198839", "Ознакомиться")</f>
        <v>Ознакомиться</v>
      </c>
      <c r="W748" s="8" t="s">
        <v>180</v>
      </c>
      <c r="X748" s="6"/>
      <c r="Y748" s="6"/>
      <c r="Z748" s="6"/>
      <c r="AA748" s="6" t="s">
        <v>573</v>
      </c>
      <c r="AB748" s="8" t="s">
        <v>401</v>
      </c>
    </row>
    <row r="749" spans="1:28" s="4" customFormat="1" ht="51.95" customHeight="1">
      <c r="A749" s="5">
        <v>0</v>
      </c>
      <c r="B749" s="6" t="s">
        <v>4942</v>
      </c>
      <c r="C749" s="7">
        <v>1044</v>
      </c>
      <c r="D749" s="8" t="s">
        <v>4943</v>
      </c>
      <c r="E749" s="8" t="s">
        <v>4944</v>
      </c>
      <c r="F749" s="8" t="s">
        <v>4945</v>
      </c>
      <c r="G749" s="6" t="s">
        <v>90</v>
      </c>
      <c r="H749" s="6" t="s">
        <v>54</v>
      </c>
      <c r="I749" s="8" t="s">
        <v>40</v>
      </c>
      <c r="J749" s="9">
        <v>1</v>
      </c>
      <c r="K749" s="9">
        <v>231</v>
      </c>
      <c r="L749" s="9">
        <v>2023</v>
      </c>
      <c r="M749" s="8" t="s">
        <v>4946</v>
      </c>
      <c r="N749" s="8" t="s">
        <v>1306</v>
      </c>
      <c r="O749" s="8" t="s">
        <v>1307</v>
      </c>
      <c r="P749" s="6" t="s">
        <v>44</v>
      </c>
      <c r="Q749" s="8" t="s">
        <v>45</v>
      </c>
      <c r="R749" s="10" t="s">
        <v>4947</v>
      </c>
      <c r="S749" s="11"/>
      <c r="T749" s="6" t="s">
        <v>118</v>
      </c>
      <c r="U749" s="24" t="str">
        <f>HYPERLINK("https://media.infra-m.ru/2062/2062476/cover/2062476.jpg", "Обложка")</f>
        <v>Обложка</v>
      </c>
      <c r="V749" s="24" t="str">
        <f>HYPERLINK("https://znanium.ru/catalog/product/2051441", "Ознакомиться")</f>
        <v>Ознакомиться</v>
      </c>
      <c r="W749" s="8" t="s">
        <v>2136</v>
      </c>
      <c r="X749" s="6"/>
      <c r="Y749" s="6"/>
      <c r="Z749" s="6" t="s">
        <v>48</v>
      </c>
      <c r="AA749" s="6" t="s">
        <v>443</v>
      </c>
      <c r="AB749" s="8"/>
    </row>
    <row r="750" spans="1:28" s="4" customFormat="1" ht="51.95" customHeight="1">
      <c r="A750" s="5">
        <v>0</v>
      </c>
      <c r="B750" s="6" t="s">
        <v>4948</v>
      </c>
      <c r="C750" s="13">
        <v>840</v>
      </c>
      <c r="D750" s="8" t="s">
        <v>4949</v>
      </c>
      <c r="E750" s="8" t="s">
        <v>4950</v>
      </c>
      <c r="F750" s="8" t="s">
        <v>1954</v>
      </c>
      <c r="G750" s="6" t="s">
        <v>90</v>
      </c>
      <c r="H750" s="6" t="s">
        <v>54</v>
      </c>
      <c r="I750" s="8" t="s">
        <v>40</v>
      </c>
      <c r="J750" s="9">
        <v>1</v>
      </c>
      <c r="K750" s="9">
        <v>155</v>
      </c>
      <c r="L750" s="9">
        <v>2026</v>
      </c>
      <c r="M750" s="8" t="s">
        <v>4951</v>
      </c>
      <c r="N750" s="8" t="s">
        <v>125</v>
      </c>
      <c r="O750" s="8" t="s">
        <v>126</v>
      </c>
      <c r="P750" s="6" t="s">
        <v>44</v>
      </c>
      <c r="Q750" s="8" t="s">
        <v>45</v>
      </c>
      <c r="R750" s="10" t="s">
        <v>4321</v>
      </c>
      <c r="S750" s="11" t="s">
        <v>4952</v>
      </c>
      <c r="T750" s="6"/>
      <c r="U750" s="24" t="str">
        <f>HYPERLINK("https://media.infra-m.ru/2221/2221984/cover/2221984.jpg", "Обложка")</f>
        <v>Обложка</v>
      </c>
      <c r="V750" s="24" t="str">
        <f>HYPERLINK("https://znanium.ru/catalog/product/2221984", "Ознакомиться")</f>
        <v>Ознакомиться</v>
      </c>
      <c r="W750" s="8" t="s">
        <v>4953</v>
      </c>
      <c r="X750" s="6"/>
      <c r="Y750" s="6"/>
      <c r="Z750" s="6"/>
      <c r="AA750" s="6" t="s">
        <v>740</v>
      </c>
      <c r="AB750" s="8" t="s">
        <v>860</v>
      </c>
    </row>
    <row r="751" spans="1:28" s="4" customFormat="1" ht="51.95" customHeight="1">
      <c r="A751" s="5">
        <v>0</v>
      </c>
      <c r="B751" s="6" t="s">
        <v>4954</v>
      </c>
      <c r="C751" s="7">
        <v>1784</v>
      </c>
      <c r="D751" s="8" t="s">
        <v>4955</v>
      </c>
      <c r="E751" s="8" t="s">
        <v>4956</v>
      </c>
      <c r="F751" s="8" t="s">
        <v>4957</v>
      </c>
      <c r="G751" s="6" t="s">
        <v>90</v>
      </c>
      <c r="H751" s="6" t="s">
        <v>54</v>
      </c>
      <c r="I751" s="8" t="s">
        <v>40</v>
      </c>
      <c r="J751" s="9">
        <v>1</v>
      </c>
      <c r="K751" s="9">
        <v>344</v>
      </c>
      <c r="L751" s="9">
        <v>2025</v>
      </c>
      <c r="M751" s="8" t="s">
        <v>4958</v>
      </c>
      <c r="N751" s="8" t="s">
        <v>42</v>
      </c>
      <c r="O751" s="8" t="s">
        <v>553</v>
      </c>
      <c r="P751" s="6" t="s">
        <v>58</v>
      </c>
      <c r="Q751" s="8" t="s">
        <v>45</v>
      </c>
      <c r="R751" s="10" t="s">
        <v>4959</v>
      </c>
      <c r="S751" s="11" t="s">
        <v>4960</v>
      </c>
      <c r="T751" s="6"/>
      <c r="U751" s="24" t="str">
        <f>HYPERLINK("https://media.infra-m.ru/2199/2199769/cover/2199769.jpg", "Обложка")</f>
        <v>Обложка</v>
      </c>
      <c r="V751" s="24" t="str">
        <f>HYPERLINK("https://znanium.ru/catalog/product/2033536", "Ознакомиться")</f>
        <v>Ознакомиться</v>
      </c>
      <c r="W751" s="8" t="s">
        <v>580</v>
      </c>
      <c r="X751" s="6"/>
      <c r="Y751" s="6"/>
      <c r="Z751" s="6"/>
      <c r="AA751" s="6" t="s">
        <v>223</v>
      </c>
      <c r="AB751" s="8"/>
    </row>
    <row r="752" spans="1:28" s="4" customFormat="1" ht="51.95" customHeight="1">
      <c r="A752" s="5">
        <v>0</v>
      </c>
      <c r="B752" s="6" t="s">
        <v>4961</v>
      </c>
      <c r="C752" s="7">
        <v>1100</v>
      </c>
      <c r="D752" s="8" t="s">
        <v>4962</v>
      </c>
      <c r="E752" s="8" t="s">
        <v>4963</v>
      </c>
      <c r="F752" s="8" t="s">
        <v>4964</v>
      </c>
      <c r="G752" s="6" t="s">
        <v>90</v>
      </c>
      <c r="H752" s="6" t="s">
        <v>39</v>
      </c>
      <c r="I752" s="8" t="s">
        <v>40</v>
      </c>
      <c r="J752" s="9">
        <v>1</v>
      </c>
      <c r="K752" s="9">
        <v>208</v>
      </c>
      <c r="L752" s="9">
        <v>2025</v>
      </c>
      <c r="M752" s="8" t="s">
        <v>4965</v>
      </c>
      <c r="N752" s="8" t="s">
        <v>1306</v>
      </c>
      <c r="O752" s="8" t="s">
        <v>1307</v>
      </c>
      <c r="P752" s="6" t="s">
        <v>44</v>
      </c>
      <c r="Q752" s="8" t="s">
        <v>45</v>
      </c>
      <c r="R752" s="10" t="s">
        <v>4966</v>
      </c>
      <c r="S752" s="11" t="s">
        <v>4967</v>
      </c>
      <c r="T752" s="6"/>
      <c r="U752" s="24" t="str">
        <f>HYPERLINK("https://media.infra-m.ru/2184/2184532/cover/2184532.jpg", "Обложка")</f>
        <v>Обложка</v>
      </c>
      <c r="V752" s="24" t="str">
        <f>HYPERLINK("https://znanium.ru/catalog/product/2184532", "Ознакомиться")</f>
        <v>Ознакомиться</v>
      </c>
      <c r="W752" s="8" t="s">
        <v>180</v>
      </c>
      <c r="X752" s="6"/>
      <c r="Y752" s="6"/>
      <c r="Z752" s="6"/>
      <c r="AA752" s="6" t="s">
        <v>253</v>
      </c>
      <c r="AB752" s="8"/>
    </row>
    <row r="753" spans="1:28" s="4" customFormat="1" ht="51.95" customHeight="1">
      <c r="A753" s="5">
        <v>0</v>
      </c>
      <c r="B753" s="6" t="s">
        <v>4968</v>
      </c>
      <c r="C753" s="7">
        <v>1620</v>
      </c>
      <c r="D753" s="8" t="s">
        <v>4969</v>
      </c>
      <c r="E753" s="8" t="s">
        <v>4970</v>
      </c>
      <c r="F753" s="8" t="s">
        <v>4971</v>
      </c>
      <c r="G753" s="6" t="s">
        <v>90</v>
      </c>
      <c r="H753" s="6" t="s">
        <v>299</v>
      </c>
      <c r="I753" s="8" t="s">
        <v>40</v>
      </c>
      <c r="J753" s="9">
        <v>1</v>
      </c>
      <c r="K753" s="9">
        <v>318</v>
      </c>
      <c r="L753" s="9">
        <v>2025</v>
      </c>
      <c r="M753" s="8" t="s">
        <v>4972</v>
      </c>
      <c r="N753" s="8" t="s">
        <v>42</v>
      </c>
      <c r="O753" s="8" t="s">
        <v>219</v>
      </c>
      <c r="P753" s="6" t="s">
        <v>58</v>
      </c>
      <c r="Q753" s="8" t="s">
        <v>45</v>
      </c>
      <c r="R753" s="10" t="s">
        <v>4973</v>
      </c>
      <c r="S753" s="11" t="s">
        <v>93</v>
      </c>
      <c r="T753" s="6"/>
      <c r="U753" s="24" t="str">
        <f>HYPERLINK("https://media.infra-m.ru/2181/2181608/cover/2181608.jpg", "Обложка")</f>
        <v>Обложка</v>
      </c>
      <c r="V753" s="24" t="str">
        <f>HYPERLINK("https://znanium.ru/catalog/product/2181608", "Ознакомиться")</f>
        <v>Ознакомиться</v>
      </c>
      <c r="W753" s="8"/>
      <c r="X753" s="6"/>
      <c r="Y753" s="6" t="s">
        <v>30</v>
      </c>
      <c r="Z753" s="6"/>
      <c r="AA753" s="6" t="s">
        <v>988</v>
      </c>
      <c r="AB753" s="8"/>
    </row>
    <row r="754" spans="1:28" s="4" customFormat="1" ht="51.95" customHeight="1">
      <c r="A754" s="5">
        <v>0</v>
      </c>
      <c r="B754" s="6" t="s">
        <v>4974</v>
      </c>
      <c r="C754" s="7">
        <v>1190</v>
      </c>
      <c r="D754" s="8" t="s">
        <v>4975</v>
      </c>
      <c r="E754" s="8" t="s">
        <v>4976</v>
      </c>
      <c r="F754" s="8" t="s">
        <v>4977</v>
      </c>
      <c r="G754" s="6" t="s">
        <v>38</v>
      </c>
      <c r="H754" s="6" t="s">
        <v>54</v>
      </c>
      <c r="I754" s="8" t="s">
        <v>40</v>
      </c>
      <c r="J754" s="9">
        <v>1</v>
      </c>
      <c r="K754" s="9">
        <v>264</v>
      </c>
      <c r="L754" s="9">
        <v>2023</v>
      </c>
      <c r="M754" s="8" t="s">
        <v>4978</v>
      </c>
      <c r="N754" s="8" t="s">
        <v>125</v>
      </c>
      <c r="O754" s="8" t="s">
        <v>352</v>
      </c>
      <c r="P754" s="6" t="s">
        <v>44</v>
      </c>
      <c r="Q754" s="8" t="s">
        <v>45</v>
      </c>
      <c r="R754" s="10" t="s">
        <v>4979</v>
      </c>
      <c r="S754" s="11" t="s">
        <v>4980</v>
      </c>
      <c r="T754" s="6"/>
      <c r="U754" s="24" t="str">
        <f>HYPERLINK("https://media.infra-m.ru/1837/1837052/cover/1837052.jpg", "Обложка")</f>
        <v>Обложка</v>
      </c>
      <c r="V754" s="24" t="str">
        <f>HYPERLINK("https://znanium.ru/catalog/product/1837052", "Ознакомиться")</f>
        <v>Ознакомиться</v>
      </c>
      <c r="W754" s="8" t="s">
        <v>3095</v>
      </c>
      <c r="X754" s="6"/>
      <c r="Y754" s="6"/>
      <c r="Z754" s="6"/>
      <c r="AA754" s="6" t="s">
        <v>102</v>
      </c>
      <c r="AB754" s="8"/>
    </row>
    <row r="755" spans="1:28" s="4" customFormat="1" ht="42" customHeight="1">
      <c r="A755" s="5">
        <v>0</v>
      </c>
      <c r="B755" s="6" t="s">
        <v>4981</v>
      </c>
      <c r="C755" s="7">
        <v>1384</v>
      </c>
      <c r="D755" s="8" t="s">
        <v>4982</v>
      </c>
      <c r="E755" s="8" t="s">
        <v>4983</v>
      </c>
      <c r="F755" s="8" t="s">
        <v>4984</v>
      </c>
      <c r="G755" s="6" t="s">
        <v>38</v>
      </c>
      <c r="H755" s="6" t="s">
        <v>68</v>
      </c>
      <c r="I755" s="8" t="s">
        <v>1110</v>
      </c>
      <c r="J755" s="9">
        <v>1</v>
      </c>
      <c r="K755" s="9">
        <v>308</v>
      </c>
      <c r="L755" s="9">
        <v>2023</v>
      </c>
      <c r="M755" s="8" t="s">
        <v>4985</v>
      </c>
      <c r="N755" s="8" t="s">
        <v>125</v>
      </c>
      <c r="O755" s="8" t="s">
        <v>352</v>
      </c>
      <c r="P755" s="6" t="s">
        <v>58</v>
      </c>
      <c r="Q755" s="8" t="s">
        <v>45</v>
      </c>
      <c r="R755" s="10" t="s">
        <v>4986</v>
      </c>
      <c r="S755" s="11"/>
      <c r="T755" s="6" t="s">
        <v>118</v>
      </c>
      <c r="U755" s="24" t="str">
        <f>HYPERLINK("https://media.infra-m.ru/1998/1998960/cover/1998960.jpg", "Обложка")</f>
        <v>Обложка</v>
      </c>
      <c r="V755" s="24" t="str">
        <f>HYPERLINK("https://znanium.ru/catalog/product/1081936", "Ознакомиться")</f>
        <v>Ознакомиться</v>
      </c>
      <c r="W755" s="8" t="s">
        <v>1552</v>
      </c>
      <c r="X755" s="6"/>
      <c r="Y755" s="6"/>
      <c r="Z755" s="6"/>
      <c r="AA755" s="6" t="s">
        <v>696</v>
      </c>
      <c r="AB755" s="8"/>
    </row>
    <row r="756" spans="1:28" s="4" customFormat="1" ht="51.95" customHeight="1">
      <c r="A756" s="5">
        <v>0</v>
      </c>
      <c r="B756" s="6" t="s">
        <v>4987</v>
      </c>
      <c r="C756" s="7">
        <v>2094</v>
      </c>
      <c r="D756" s="8" t="s">
        <v>4988</v>
      </c>
      <c r="E756" s="8" t="s">
        <v>4989</v>
      </c>
      <c r="F756" s="8" t="s">
        <v>4990</v>
      </c>
      <c r="G756" s="6" t="s">
        <v>38</v>
      </c>
      <c r="H756" s="6" t="s">
        <v>693</v>
      </c>
      <c r="I756" s="8"/>
      <c r="J756" s="9">
        <v>1</v>
      </c>
      <c r="K756" s="9">
        <v>400</v>
      </c>
      <c r="L756" s="9">
        <v>2026</v>
      </c>
      <c r="M756" s="8" t="s">
        <v>4991</v>
      </c>
      <c r="N756" s="8" t="s">
        <v>125</v>
      </c>
      <c r="O756" s="8" t="s">
        <v>352</v>
      </c>
      <c r="P756" s="6" t="s">
        <v>58</v>
      </c>
      <c r="Q756" s="8" t="s">
        <v>45</v>
      </c>
      <c r="R756" s="10" t="s">
        <v>4992</v>
      </c>
      <c r="S756" s="11" t="s">
        <v>4993</v>
      </c>
      <c r="T756" s="6"/>
      <c r="U756" s="24" t="str">
        <f>HYPERLINK("https://media.infra-m.ru/2220/2220955/cover/2220955.jpg", "Обложка")</f>
        <v>Обложка</v>
      </c>
      <c r="V756" s="24" t="str">
        <f>HYPERLINK("https://znanium.ru/catalog/product/1032055", "Ознакомиться")</f>
        <v>Ознакомиться</v>
      </c>
      <c r="W756" s="8" t="s">
        <v>4994</v>
      </c>
      <c r="X756" s="6"/>
      <c r="Y756" s="6"/>
      <c r="Z756" s="6"/>
      <c r="AA756" s="6" t="s">
        <v>253</v>
      </c>
      <c r="AB756" s="8"/>
    </row>
    <row r="757" spans="1:28" s="4" customFormat="1" ht="51.95" customHeight="1">
      <c r="A757" s="5">
        <v>0</v>
      </c>
      <c r="B757" s="6" t="s">
        <v>4995</v>
      </c>
      <c r="C757" s="7">
        <v>1174</v>
      </c>
      <c r="D757" s="8" t="s">
        <v>4996</v>
      </c>
      <c r="E757" s="8" t="s">
        <v>4997</v>
      </c>
      <c r="F757" s="8" t="s">
        <v>4998</v>
      </c>
      <c r="G757" s="6" t="s">
        <v>38</v>
      </c>
      <c r="H757" s="6" t="s">
        <v>39</v>
      </c>
      <c r="I757" s="8" t="s">
        <v>69</v>
      </c>
      <c r="J757" s="9">
        <v>1</v>
      </c>
      <c r="K757" s="9">
        <v>256</v>
      </c>
      <c r="L757" s="9">
        <v>2024</v>
      </c>
      <c r="M757" s="8" t="s">
        <v>4999</v>
      </c>
      <c r="N757" s="8" t="s">
        <v>125</v>
      </c>
      <c r="O757" s="8" t="s">
        <v>126</v>
      </c>
      <c r="P757" s="6" t="s">
        <v>44</v>
      </c>
      <c r="Q757" s="8" t="s">
        <v>45</v>
      </c>
      <c r="R757" s="10" t="s">
        <v>1088</v>
      </c>
      <c r="S757" s="11" t="s">
        <v>2555</v>
      </c>
      <c r="T757" s="6"/>
      <c r="U757" s="24" t="str">
        <f>HYPERLINK("https://media.infra-m.ru/2104/2104120/cover/2104120.jpg", "Обложка")</f>
        <v>Обложка</v>
      </c>
      <c r="V757" s="24" t="str">
        <f>HYPERLINK("https://znanium.ru/catalog/product/2215372", "Ознакомиться")</f>
        <v>Ознакомиться</v>
      </c>
      <c r="W757" s="8" t="s">
        <v>499</v>
      </c>
      <c r="X757" s="6"/>
      <c r="Y757" s="6" t="s">
        <v>30</v>
      </c>
      <c r="Z757" s="6"/>
      <c r="AA757" s="6" t="s">
        <v>191</v>
      </c>
      <c r="AB757" s="8" t="s">
        <v>2908</v>
      </c>
    </row>
    <row r="758" spans="1:28" s="4" customFormat="1" ht="51.95" customHeight="1">
      <c r="A758" s="5">
        <v>0</v>
      </c>
      <c r="B758" s="6" t="s">
        <v>5000</v>
      </c>
      <c r="C758" s="7">
        <v>1500</v>
      </c>
      <c r="D758" s="8" t="s">
        <v>5001</v>
      </c>
      <c r="E758" s="8" t="s">
        <v>5002</v>
      </c>
      <c r="F758" s="8" t="s">
        <v>496</v>
      </c>
      <c r="G758" s="6" t="s">
        <v>90</v>
      </c>
      <c r="H758" s="6" t="s">
        <v>54</v>
      </c>
      <c r="I758" s="8" t="s">
        <v>40</v>
      </c>
      <c r="J758" s="9">
        <v>1</v>
      </c>
      <c r="K758" s="9">
        <v>288</v>
      </c>
      <c r="L758" s="9">
        <v>2026</v>
      </c>
      <c r="M758" s="8" t="s">
        <v>5003</v>
      </c>
      <c r="N758" s="8" t="s">
        <v>125</v>
      </c>
      <c r="O758" s="8" t="s">
        <v>126</v>
      </c>
      <c r="P758" s="6" t="s">
        <v>44</v>
      </c>
      <c r="Q758" s="8" t="s">
        <v>45</v>
      </c>
      <c r="R758" s="10" t="s">
        <v>1088</v>
      </c>
      <c r="S758" s="11" t="s">
        <v>276</v>
      </c>
      <c r="T758" s="6"/>
      <c r="U758" s="24" t="str">
        <f>HYPERLINK("https://media.infra-m.ru/2215/2215372/cover/2215372.jpg", "Обложка")</f>
        <v>Обложка</v>
      </c>
      <c r="V758" s="24" t="str">
        <f>HYPERLINK("https://znanium.ru/catalog/product/2215372", "Ознакомиться")</f>
        <v>Ознакомиться</v>
      </c>
      <c r="W758" s="8" t="s">
        <v>499</v>
      </c>
      <c r="X758" s="6"/>
      <c r="Y758" s="6" t="s">
        <v>30</v>
      </c>
      <c r="Z758" s="6"/>
      <c r="AA758" s="6" t="s">
        <v>2953</v>
      </c>
      <c r="AB758" s="8" t="s">
        <v>2908</v>
      </c>
    </row>
    <row r="759" spans="1:28" s="4" customFormat="1" ht="51.95" customHeight="1">
      <c r="A759" s="5">
        <v>0</v>
      </c>
      <c r="B759" s="6" t="s">
        <v>5004</v>
      </c>
      <c r="C759" s="13">
        <v>740</v>
      </c>
      <c r="D759" s="8" t="s">
        <v>5005</v>
      </c>
      <c r="E759" s="8" t="s">
        <v>5006</v>
      </c>
      <c r="F759" s="8" t="s">
        <v>5007</v>
      </c>
      <c r="G759" s="6" t="s">
        <v>90</v>
      </c>
      <c r="H759" s="6" t="s">
        <v>299</v>
      </c>
      <c r="I759" s="8" t="s">
        <v>40</v>
      </c>
      <c r="J759" s="9">
        <v>1</v>
      </c>
      <c r="K759" s="9">
        <v>160</v>
      </c>
      <c r="L759" s="9">
        <v>2024</v>
      </c>
      <c r="M759" s="8" t="s">
        <v>5008</v>
      </c>
      <c r="N759" s="8" t="s">
        <v>42</v>
      </c>
      <c r="O759" s="8" t="s">
        <v>169</v>
      </c>
      <c r="P759" s="6" t="s">
        <v>44</v>
      </c>
      <c r="Q759" s="8" t="s">
        <v>45</v>
      </c>
      <c r="R759" s="10" t="s">
        <v>5009</v>
      </c>
      <c r="S759" s="11" t="s">
        <v>5010</v>
      </c>
      <c r="T759" s="6"/>
      <c r="U759" s="24" t="str">
        <f>HYPERLINK("https://media.infra-m.ru/2131/2131816/cover/2131816.jpg", "Обложка")</f>
        <v>Обложка</v>
      </c>
      <c r="V759" s="24" t="str">
        <f>HYPERLINK("https://znanium.ru/catalog/product/2131816", "Ознакомиться")</f>
        <v>Ознакомиться</v>
      </c>
      <c r="W759" s="8" t="s">
        <v>593</v>
      </c>
      <c r="X759" s="6"/>
      <c r="Y759" s="6"/>
      <c r="Z759" s="6" t="s">
        <v>48</v>
      </c>
      <c r="AA759" s="6" t="s">
        <v>443</v>
      </c>
      <c r="AB759" s="8"/>
    </row>
    <row r="760" spans="1:28" s="4" customFormat="1" ht="51.95" customHeight="1">
      <c r="A760" s="5">
        <v>0</v>
      </c>
      <c r="B760" s="6" t="s">
        <v>5011</v>
      </c>
      <c r="C760" s="7">
        <v>1010</v>
      </c>
      <c r="D760" s="8" t="s">
        <v>5012</v>
      </c>
      <c r="E760" s="8" t="s">
        <v>5013</v>
      </c>
      <c r="F760" s="8" t="s">
        <v>5014</v>
      </c>
      <c r="G760" s="6" t="s">
        <v>90</v>
      </c>
      <c r="H760" s="6" t="s">
        <v>299</v>
      </c>
      <c r="I760" s="8" t="s">
        <v>40</v>
      </c>
      <c r="J760" s="9">
        <v>1</v>
      </c>
      <c r="K760" s="9">
        <v>224</v>
      </c>
      <c r="L760" s="9">
        <v>2023</v>
      </c>
      <c r="M760" s="8" t="s">
        <v>5015</v>
      </c>
      <c r="N760" s="8" t="s">
        <v>42</v>
      </c>
      <c r="O760" s="8" t="s">
        <v>43</v>
      </c>
      <c r="P760" s="6" t="s">
        <v>44</v>
      </c>
      <c r="Q760" s="8" t="s">
        <v>45</v>
      </c>
      <c r="R760" s="10" t="s">
        <v>5016</v>
      </c>
      <c r="S760" s="11" t="s">
        <v>5017</v>
      </c>
      <c r="T760" s="6"/>
      <c r="U760" s="24" t="str">
        <f>HYPERLINK("https://media.infra-m.ru/2010/2010597/cover/2010597.jpg", "Обложка")</f>
        <v>Обложка</v>
      </c>
      <c r="V760" s="24" t="str">
        <f>HYPERLINK("https://znanium.ru/catalog/product/2010597", "Ознакомиться")</f>
        <v>Ознакомиться</v>
      </c>
      <c r="W760" s="8" t="s">
        <v>834</v>
      </c>
      <c r="X760" s="6"/>
      <c r="Y760" s="6"/>
      <c r="Z760" s="6" t="s">
        <v>48</v>
      </c>
      <c r="AA760" s="6" t="s">
        <v>740</v>
      </c>
      <c r="AB760" s="8"/>
    </row>
    <row r="761" spans="1:28" s="4" customFormat="1" ht="51.95" customHeight="1">
      <c r="A761" s="5">
        <v>0</v>
      </c>
      <c r="B761" s="6" t="s">
        <v>5018</v>
      </c>
      <c r="C761" s="13">
        <v>590</v>
      </c>
      <c r="D761" s="8" t="s">
        <v>5019</v>
      </c>
      <c r="E761" s="8" t="s">
        <v>5020</v>
      </c>
      <c r="F761" s="8" t="s">
        <v>5021</v>
      </c>
      <c r="G761" s="6" t="s">
        <v>67</v>
      </c>
      <c r="H761" s="6" t="s">
        <v>54</v>
      </c>
      <c r="I761" s="8" t="s">
        <v>40</v>
      </c>
      <c r="J761" s="9">
        <v>1</v>
      </c>
      <c r="K761" s="9">
        <v>118</v>
      </c>
      <c r="L761" s="9">
        <v>2025</v>
      </c>
      <c r="M761" s="8" t="s">
        <v>5022</v>
      </c>
      <c r="N761" s="8" t="s">
        <v>42</v>
      </c>
      <c r="O761" s="8" t="s">
        <v>43</v>
      </c>
      <c r="P761" s="6" t="s">
        <v>44</v>
      </c>
      <c r="Q761" s="8" t="s">
        <v>45</v>
      </c>
      <c r="R761" s="10" t="s">
        <v>5023</v>
      </c>
      <c r="S761" s="11" t="s">
        <v>1323</v>
      </c>
      <c r="T761" s="6"/>
      <c r="U761" s="24" t="str">
        <f>HYPERLINK("https://media.infra-m.ru/2171/2171259/cover/2171259.jpg", "Обложка")</f>
        <v>Обложка</v>
      </c>
      <c r="V761" s="24" t="str">
        <f>HYPERLINK("https://znanium.ru/catalog/product/2171259", "Ознакомиться")</f>
        <v>Ознакомиться</v>
      </c>
      <c r="W761" s="8" t="s">
        <v>2674</v>
      </c>
      <c r="X761" s="6"/>
      <c r="Y761" s="6"/>
      <c r="Z761" s="6" t="s">
        <v>48</v>
      </c>
      <c r="AA761" s="6" t="s">
        <v>129</v>
      </c>
      <c r="AB761" s="8"/>
    </row>
    <row r="762" spans="1:28" s="4" customFormat="1" ht="51.95" customHeight="1">
      <c r="A762" s="5">
        <v>0</v>
      </c>
      <c r="B762" s="6" t="s">
        <v>5024</v>
      </c>
      <c r="C762" s="7">
        <v>1090</v>
      </c>
      <c r="D762" s="8" t="s">
        <v>5025</v>
      </c>
      <c r="E762" s="8" t="s">
        <v>5026</v>
      </c>
      <c r="F762" s="8" t="s">
        <v>5027</v>
      </c>
      <c r="G762" s="6" t="s">
        <v>38</v>
      </c>
      <c r="H762" s="6" t="s">
        <v>54</v>
      </c>
      <c r="I762" s="8" t="s">
        <v>40</v>
      </c>
      <c r="J762" s="9">
        <v>1</v>
      </c>
      <c r="K762" s="9">
        <v>211</v>
      </c>
      <c r="L762" s="9">
        <v>2025</v>
      </c>
      <c r="M762" s="8" t="s">
        <v>5028</v>
      </c>
      <c r="N762" s="8" t="s">
        <v>42</v>
      </c>
      <c r="O762" s="8" t="s">
        <v>43</v>
      </c>
      <c r="P762" s="6" t="s">
        <v>44</v>
      </c>
      <c r="Q762" s="8" t="s">
        <v>45</v>
      </c>
      <c r="R762" s="10" t="s">
        <v>5029</v>
      </c>
      <c r="S762" s="11"/>
      <c r="T762" s="6"/>
      <c r="U762" s="24" t="str">
        <f>HYPERLINK("https://media.infra-m.ru/2175/2175042/cover/2175042.jpg", "Обложка")</f>
        <v>Обложка</v>
      </c>
      <c r="V762" s="24" t="str">
        <f>HYPERLINK("https://znanium.ru/catalog/product/2175042", "Ознакомиться")</f>
        <v>Ознакомиться</v>
      </c>
      <c r="W762" s="8" t="s">
        <v>834</v>
      </c>
      <c r="X762" s="6" t="s">
        <v>2828</v>
      </c>
      <c r="Y762" s="6"/>
      <c r="Z762" s="6" t="s">
        <v>48</v>
      </c>
      <c r="AA762" s="6" t="s">
        <v>84</v>
      </c>
      <c r="AB762" s="8"/>
    </row>
    <row r="763" spans="1:28" s="4" customFormat="1" ht="51.95" customHeight="1">
      <c r="A763" s="5">
        <v>0</v>
      </c>
      <c r="B763" s="6" t="s">
        <v>5030</v>
      </c>
      <c r="C763" s="13">
        <v>590</v>
      </c>
      <c r="D763" s="8" t="s">
        <v>5031</v>
      </c>
      <c r="E763" s="8" t="s">
        <v>5032</v>
      </c>
      <c r="F763" s="8" t="s">
        <v>5033</v>
      </c>
      <c r="G763" s="6" t="s">
        <v>67</v>
      </c>
      <c r="H763" s="6" t="s">
        <v>54</v>
      </c>
      <c r="I763" s="8" t="s">
        <v>40</v>
      </c>
      <c r="J763" s="9">
        <v>1</v>
      </c>
      <c r="K763" s="9">
        <v>124</v>
      </c>
      <c r="L763" s="9">
        <v>2023</v>
      </c>
      <c r="M763" s="8" t="s">
        <v>5034</v>
      </c>
      <c r="N763" s="8" t="s">
        <v>42</v>
      </c>
      <c r="O763" s="8" t="s">
        <v>169</v>
      </c>
      <c r="P763" s="6" t="s">
        <v>44</v>
      </c>
      <c r="Q763" s="8" t="s">
        <v>45</v>
      </c>
      <c r="R763" s="10" t="s">
        <v>5035</v>
      </c>
      <c r="S763" s="11" t="s">
        <v>5036</v>
      </c>
      <c r="T763" s="6"/>
      <c r="U763" s="24" t="str">
        <f>HYPERLINK("https://media.infra-m.ru/1976/1976133/cover/1976133.jpg", "Обложка")</f>
        <v>Обложка</v>
      </c>
      <c r="V763" s="24" t="str">
        <f>HYPERLINK("https://znanium.ru/catalog/product/1976133", "Ознакомиться")</f>
        <v>Ознакомиться</v>
      </c>
      <c r="W763" s="8" t="s">
        <v>1050</v>
      </c>
      <c r="X763" s="6"/>
      <c r="Y763" s="6"/>
      <c r="Z763" s="6" t="s">
        <v>48</v>
      </c>
      <c r="AA763" s="6" t="s">
        <v>740</v>
      </c>
      <c r="AB763" s="8"/>
    </row>
    <row r="764" spans="1:28" s="4" customFormat="1" ht="51.95" customHeight="1">
      <c r="A764" s="5">
        <v>0</v>
      </c>
      <c r="B764" s="6" t="s">
        <v>5037</v>
      </c>
      <c r="C764" s="7">
        <v>1224</v>
      </c>
      <c r="D764" s="8" t="s">
        <v>5038</v>
      </c>
      <c r="E764" s="8" t="s">
        <v>5039</v>
      </c>
      <c r="F764" s="8" t="s">
        <v>2245</v>
      </c>
      <c r="G764" s="6" t="s">
        <v>90</v>
      </c>
      <c r="H764" s="6" t="s">
        <v>54</v>
      </c>
      <c r="I764" s="8" t="s">
        <v>40</v>
      </c>
      <c r="J764" s="9">
        <v>1</v>
      </c>
      <c r="K764" s="9">
        <v>236</v>
      </c>
      <c r="L764" s="9">
        <v>2026</v>
      </c>
      <c r="M764" s="8" t="s">
        <v>5040</v>
      </c>
      <c r="N764" s="8" t="s">
        <v>42</v>
      </c>
      <c r="O764" s="8" t="s">
        <v>43</v>
      </c>
      <c r="P764" s="6" t="s">
        <v>44</v>
      </c>
      <c r="Q764" s="8" t="s">
        <v>45</v>
      </c>
      <c r="R764" s="10" t="s">
        <v>5041</v>
      </c>
      <c r="S764" s="11" t="s">
        <v>5042</v>
      </c>
      <c r="T764" s="6"/>
      <c r="U764" s="24" t="str">
        <f>HYPERLINK("https://media.infra-m.ru/2216/2216900/cover/2216900.jpg", "Обложка")</f>
        <v>Обложка</v>
      </c>
      <c r="V764" s="24" t="str">
        <f>HYPERLINK("https://znanium.ru/catalog/product/2073477", "Ознакомиться")</f>
        <v>Ознакомиться</v>
      </c>
      <c r="W764" s="8"/>
      <c r="X764" s="6"/>
      <c r="Y764" s="6"/>
      <c r="Z764" s="6"/>
      <c r="AA764" s="6" t="s">
        <v>102</v>
      </c>
      <c r="AB764" s="8"/>
    </row>
    <row r="765" spans="1:28" s="4" customFormat="1" ht="51.95" customHeight="1">
      <c r="A765" s="5">
        <v>0</v>
      </c>
      <c r="B765" s="6" t="s">
        <v>5043</v>
      </c>
      <c r="C765" s="7">
        <v>1914</v>
      </c>
      <c r="D765" s="8" t="s">
        <v>5044</v>
      </c>
      <c r="E765" s="8" t="s">
        <v>5045</v>
      </c>
      <c r="F765" s="8" t="s">
        <v>5046</v>
      </c>
      <c r="G765" s="6" t="s">
        <v>90</v>
      </c>
      <c r="H765" s="6" t="s">
        <v>39</v>
      </c>
      <c r="I765" s="8" t="s">
        <v>40</v>
      </c>
      <c r="J765" s="9">
        <v>1</v>
      </c>
      <c r="K765" s="9">
        <v>416</v>
      </c>
      <c r="L765" s="9">
        <v>2024</v>
      </c>
      <c r="M765" s="8" t="s">
        <v>5047</v>
      </c>
      <c r="N765" s="8" t="s">
        <v>42</v>
      </c>
      <c r="O765" s="8" t="s">
        <v>43</v>
      </c>
      <c r="P765" s="6" t="s">
        <v>44</v>
      </c>
      <c r="Q765" s="8" t="s">
        <v>45</v>
      </c>
      <c r="R765" s="10" t="s">
        <v>5048</v>
      </c>
      <c r="S765" s="11" t="s">
        <v>5049</v>
      </c>
      <c r="T765" s="6"/>
      <c r="U765" s="24" t="str">
        <f>HYPERLINK("https://media.infra-m.ru/2054/2054226/cover/2054226.jpg", "Обложка")</f>
        <v>Обложка</v>
      </c>
      <c r="V765" s="24" t="str">
        <f>HYPERLINK("https://znanium.ru/catalog/product/1190668", "Ознакомиться")</f>
        <v>Ознакомиться</v>
      </c>
      <c r="W765" s="8" t="s">
        <v>818</v>
      </c>
      <c r="X765" s="6"/>
      <c r="Y765" s="6" t="s">
        <v>30</v>
      </c>
      <c r="Z765" s="6"/>
      <c r="AA765" s="6" t="s">
        <v>5050</v>
      </c>
      <c r="AB765" s="8"/>
    </row>
    <row r="766" spans="1:28" s="4" customFormat="1" ht="51.95" customHeight="1">
      <c r="A766" s="5">
        <v>0</v>
      </c>
      <c r="B766" s="6" t="s">
        <v>5051</v>
      </c>
      <c r="C766" s="7">
        <v>1190</v>
      </c>
      <c r="D766" s="8" t="s">
        <v>5052</v>
      </c>
      <c r="E766" s="8" t="s">
        <v>5039</v>
      </c>
      <c r="F766" s="8" t="s">
        <v>5053</v>
      </c>
      <c r="G766" s="6" t="s">
        <v>38</v>
      </c>
      <c r="H766" s="6" t="s">
        <v>54</v>
      </c>
      <c r="I766" s="8" t="s">
        <v>40</v>
      </c>
      <c r="J766" s="9">
        <v>1</v>
      </c>
      <c r="K766" s="9">
        <v>229</v>
      </c>
      <c r="L766" s="9">
        <v>2025</v>
      </c>
      <c r="M766" s="8" t="s">
        <v>5054</v>
      </c>
      <c r="N766" s="8" t="s">
        <v>42</v>
      </c>
      <c r="O766" s="8" t="s">
        <v>43</v>
      </c>
      <c r="P766" s="6" t="s">
        <v>44</v>
      </c>
      <c r="Q766" s="8" t="s">
        <v>45</v>
      </c>
      <c r="R766" s="10" t="s">
        <v>5055</v>
      </c>
      <c r="S766" s="11"/>
      <c r="T766" s="6"/>
      <c r="U766" s="24" t="str">
        <f>HYPERLINK("https://media.infra-m.ru/1096/1096072/cover/1096072.jpg", "Обложка")</f>
        <v>Обложка</v>
      </c>
      <c r="V766" s="24" t="str">
        <f>HYPERLINK("https://znanium.ru/catalog/product/1096072", "Ознакомиться")</f>
        <v>Ознакомиться</v>
      </c>
      <c r="W766" s="8" t="s">
        <v>2674</v>
      </c>
      <c r="X766" s="6"/>
      <c r="Y766" s="6"/>
      <c r="Z766" s="6"/>
      <c r="AA766" s="6" t="s">
        <v>84</v>
      </c>
      <c r="AB766" s="8"/>
    </row>
    <row r="767" spans="1:28" s="4" customFormat="1" ht="51.95" customHeight="1">
      <c r="A767" s="5">
        <v>0</v>
      </c>
      <c r="B767" s="6" t="s">
        <v>5056</v>
      </c>
      <c r="C767" s="7">
        <v>1084.9000000000001</v>
      </c>
      <c r="D767" s="8" t="s">
        <v>5057</v>
      </c>
      <c r="E767" s="8" t="s">
        <v>5058</v>
      </c>
      <c r="F767" s="8" t="s">
        <v>5059</v>
      </c>
      <c r="G767" s="6" t="s">
        <v>38</v>
      </c>
      <c r="H767" s="6" t="s">
        <v>693</v>
      </c>
      <c r="I767" s="8" t="s">
        <v>694</v>
      </c>
      <c r="J767" s="9">
        <v>1</v>
      </c>
      <c r="K767" s="9">
        <v>240</v>
      </c>
      <c r="L767" s="9">
        <v>2023</v>
      </c>
      <c r="M767" s="8" t="s">
        <v>5060</v>
      </c>
      <c r="N767" s="8" t="s">
        <v>125</v>
      </c>
      <c r="O767" s="8" t="s">
        <v>126</v>
      </c>
      <c r="P767" s="6" t="s">
        <v>44</v>
      </c>
      <c r="Q767" s="8" t="s">
        <v>45</v>
      </c>
      <c r="R767" s="10" t="s">
        <v>5061</v>
      </c>
      <c r="S767" s="11" t="s">
        <v>5062</v>
      </c>
      <c r="T767" s="6"/>
      <c r="U767" s="24" t="str">
        <f>HYPERLINK("https://media.infra-m.ru/1894/1894508/cover/1894508.jpg", "Обложка")</f>
        <v>Обложка</v>
      </c>
      <c r="V767" s="24" t="str">
        <f>HYPERLINK("https://znanium.ru/catalog/product/2222393", "Ознакомиться")</f>
        <v>Ознакомиться</v>
      </c>
      <c r="W767" s="8" t="s">
        <v>386</v>
      </c>
      <c r="X767" s="6"/>
      <c r="Y767" s="6"/>
      <c r="Z767" s="6"/>
      <c r="AA767" s="6" t="s">
        <v>261</v>
      </c>
      <c r="AB767" s="8"/>
    </row>
    <row r="768" spans="1:28" s="4" customFormat="1" ht="51.95" customHeight="1">
      <c r="A768" s="5">
        <v>0</v>
      </c>
      <c r="B768" s="6" t="s">
        <v>5063</v>
      </c>
      <c r="C768" s="7">
        <v>1254</v>
      </c>
      <c r="D768" s="8" t="s">
        <v>5064</v>
      </c>
      <c r="E768" s="8" t="s">
        <v>5065</v>
      </c>
      <c r="F768" s="8" t="s">
        <v>5066</v>
      </c>
      <c r="G768" s="6" t="s">
        <v>90</v>
      </c>
      <c r="H768" s="6" t="s">
        <v>54</v>
      </c>
      <c r="I768" s="8" t="s">
        <v>40</v>
      </c>
      <c r="J768" s="9">
        <v>1</v>
      </c>
      <c r="K768" s="9">
        <v>240</v>
      </c>
      <c r="L768" s="9">
        <v>2026</v>
      </c>
      <c r="M768" s="8" t="s">
        <v>5067</v>
      </c>
      <c r="N768" s="8" t="s">
        <v>125</v>
      </c>
      <c r="O768" s="8" t="s">
        <v>126</v>
      </c>
      <c r="P768" s="6" t="s">
        <v>44</v>
      </c>
      <c r="Q768" s="8" t="s">
        <v>45</v>
      </c>
      <c r="R768" s="10" t="s">
        <v>5061</v>
      </c>
      <c r="S768" s="11" t="s">
        <v>5062</v>
      </c>
      <c r="T768" s="6"/>
      <c r="U768" s="24" t="str">
        <f>HYPERLINK("https://media.infra-m.ru/2222/2222770/cover/2222770.jpg", "Обложка")</f>
        <v>Обложка</v>
      </c>
      <c r="V768" s="24" t="str">
        <f>HYPERLINK("https://znanium.ru/catalog/product/2222393", "Ознакомиться")</f>
        <v>Ознакомиться</v>
      </c>
      <c r="W768" s="8" t="s">
        <v>386</v>
      </c>
      <c r="X768" s="6"/>
      <c r="Y768" s="6"/>
      <c r="Z768" s="6"/>
      <c r="AA768" s="6" t="s">
        <v>49</v>
      </c>
      <c r="AB768" s="8"/>
    </row>
    <row r="769" spans="1:28" s="4" customFormat="1" ht="51.95" customHeight="1">
      <c r="A769" s="5">
        <v>0</v>
      </c>
      <c r="B769" s="6" t="s">
        <v>5068</v>
      </c>
      <c r="C769" s="7">
        <v>1200</v>
      </c>
      <c r="D769" s="8" t="s">
        <v>5069</v>
      </c>
      <c r="E769" s="8" t="s">
        <v>5070</v>
      </c>
      <c r="F769" s="8" t="s">
        <v>195</v>
      </c>
      <c r="G769" s="6" t="s">
        <v>90</v>
      </c>
      <c r="H769" s="6" t="s">
        <v>54</v>
      </c>
      <c r="I769" s="8" t="s">
        <v>40</v>
      </c>
      <c r="J769" s="9">
        <v>1</v>
      </c>
      <c r="K769" s="9">
        <v>223</v>
      </c>
      <c r="L769" s="9">
        <v>2026</v>
      </c>
      <c r="M769" s="8" t="s">
        <v>5071</v>
      </c>
      <c r="N769" s="8" t="s">
        <v>42</v>
      </c>
      <c r="O769" s="8" t="s">
        <v>219</v>
      </c>
      <c r="P769" s="6" t="s">
        <v>44</v>
      </c>
      <c r="Q769" s="8" t="s">
        <v>45</v>
      </c>
      <c r="R769" s="10" t="s">
        <v>5072</v>
      </c>
      <c r="S769" s="11" t="s">
        <v>5073</v>
      </c>
      <c r="T769" s="6"/>
      <c r="U769" s="24" t="str">
        <f>HYPERLINK("https://media.infra-m.ru/2213/2213291/cover/2213291.jpg", "Обложка")</f>
        <v>Обложка</v>
      </c>
      <c r="V769" s="24" t="str">
        <f>HYPERLINK("https://znanium.ru/catalog/product/2213291", "Ознакомиться")</f>
        <v>Ознакомиться</v>
      </c>
      <c r="W769" s="8" t="s">
        <v>199</v>
      </c>
      <c r="X769" s="6"/>
      <c r="Y769" s="6"/>
      <c r="Z769" s="6" t="s">
        <v>207</v>
      </c>
      <c r="AA769" s="6" t="s">
        <v>563</v>
      </c>
      <c r="AB769" s="8"/>
    </row>
    <row r="770" spans="1:28" s="4" customFormat="1" ht="42" customHeight="1">
      <c r="A770" s="5">
        <v>0</v>
      </c>
      <c r="B770" s="6" t="s">
        <v>5074</v>
      </c>
      <c r="C770" s="7">
        <v>1090</v>
      </c>
      <c r="D770" s="8" t="s">
        <v>5075</v>
      </c>
      <c r="E770" s="8" t="s">
        <v>5076</v>
      </c>
      <c r="F770" s="8" t="s">
        <v>5077</v>
      </c>
      <c r="G770" s="6" t="s">
        <v>90</v>
      </c>
      <c r="H770" s="6" t="s">
        <v>68</v>
      </c>
      <c r="I770" s="8" t="s">
        <v>69</v>
      </c>
      <c r="J770" s="9">
        <v>1</v>
      </c>
      <c r="K770" s="9">
        <v>232</v>
      </c>
      <c r="L770" s="9">
        <v>2024</v>
      </c>
      <c r="M770" s="8" t="s">
        <v>5078</v>
      </c>
      <c r="N770" s="8" t="s">
        <v>125</v>
      </c>
      <c r="O770" s="8" t="s">
        <v>2476</v>
      </c>
      <c r="P770" s="6" t="s">
        <v>58</v>
      </c>
      <c r="Q770" s="8" t="s">
        <v>45</v>
      </c>
      <c r="R770" s="10" t="s">
        <v>5079</v>
      </c>
      <c r="S770" s="11"/>
      <c r="T770" s="6"/>
      <c r="U770" s="24" t="str">
        <f>HYPERLINK("https://media.infra-m.ru/2136/2136106/cover/2136106.jpg", "Обложка")</f>
        <v>Обложка</v>
      </c>
      <c r="V770" s="12"/>
      <c r="W770" s="8" t="s">
        <v>5080</v>
      </c>
      <c r="X770" s="6"/>
      <c r="Y770" s="6"/>
      <c r="Z770" s="6"/>
      <c r="AA770" s="6" t="s">
        <v>354</v>
      </c>
      <c r="AB770" s="8"/>
    </row>
    <row r="771" spans="1:28" s="4" customFormat="1" ht="44.1" customHeight="1">
      <c r="A771" s="5">
        <v>0</v>
      </c>
      <c r="B771" s="6" t="s">
        <v>5081</v>
      </c>
      <c r="C771" s="7">
        <v>1050</v>
      </c>
      <c r="D771" s="8" t="s">
        <v>5082</v>
      </c>
      <c r="E771" s="8" t="s">
        <v>5076</v>
      </c>
      <c r="F771" s="8" t="s">
        <v>1135</v>
      </c>
      <c r="G771" s="6" t="s">
        <v>90</v>
      </c>
      <c r="H771" s="6" t="s">
        <v>54</v>
      </c>
      <c r="I771" s="8" t="s">
        <v>40</v>
      </c>
      <c r="J771" s="9">
        <v>1</v>
      </c>
      <c r="K771" s="9">
        <v>190</v>
      </c>
      <c r="L771" s="9">
        <v>2026</v>
      </c>
      <c r="M771" s="8" t="s">
        <v>5083</v>
      </c>
      <c r="N771" s="8" t="s">
        <v>125</v>
      </c>
      <c r="O771" s="8" t="s">
        <v>2476</v>
      </c>
      <c r="P771" s="6" t="s">
        <v>44</v>
      </c>
      <c r="Q771" s="8" t="s">
        <v>45</v>
      </c>
      <c r="R771" s="10" t="s">
        <v>5084</v>
      </c>
      <c r="S771" s="11"/>
      <c r="T771" s="6"/>
      <c r="U771" s="24" t="str">
        <f>HYPERLINK("https://media.infra-m.ru/2219/2219324/cover/2219324.jpg", "Обложка")</f>
        <v>Обложка</v>
      </c>
      <c r="V771" s="24" t="str">
        <f>HYPERLINK("https://znanium.ru/catalog/product/2219324", "Ознакомиться")</f>
        <v>Ознакомиться</v>
      </c>
      <c r="W771" s="8" t="s">
        <v>1139</v>
      </c>
      <c r="X771" s="6"/>
      <c r="Y771" s="6"/>
      <c r="Z771" s="6" t="s">
        <v>207</v>
      </c>
      <c r="AA771" s="6" t="s">
        <v>84</v>
      </c>
      <c r="AB771" s="8"/>
    </row>
    <row r="772" spans="1:28" s="4" customFormat="1" ht="51.95" customHeight="1">
      <c r="A772" s="5">
        <v>0</v>
      </c>
      <c r="B772" s="6" t="s">
        <v>5085</v>
      </c>
      <c r="C772" s="7">
        <v>1634.9</v>
      </c>
      <c r="D772" s="8" t="s">
        <v>5086</v>
      </c>
      <c r="E772" s="8" t="s">
        <v>5087</v>
      </c>
      <c r="F772" s="8" t="s">
        <v>5088</v>
      </c>
      <c r="G772" s="6" t="s">
        <v>38</v>
      </c>
      <c r="H772" s="6" t="s">
        <v>54</v>
      </c>
      <c r="I772" s="8" t="s">
        <v>40</v>
      </c>
      <c r="J772" s="9">
        <v>1</v>
      </c>
      <c r="K772" s="9">
        <v>364</v>
      </c>
      <c r="L772" s="9">
        <v>2023</v>
      </c>
      <c r="M772" s="8" t="s">
        <v>5089</v>
      </c>
      <c r="N772" s="8" t="s">
        <v>42</v>
      </c>
      <c r="O772" s="8" t="s">
        <v>1370</v>
      </c>
      <c r="P772" s="6" t="s">
        <v>58</v>
      </c>
      <c r="Q772" s="8" t="s">
        <v>45</v>
      </c>
      <c r="R772" s="10" t="s">
        <v>5090</v>
      </c>
      <c r="S772" s="11" t="s">
        <v>5091</v>
      </c>
      <c r="T772" s="6" t="s">
        <v>118</v>
      </c>
      <c r="U772" s="24" t="str">
        <f>HYPERLINK("https://media.infra-m.ru/1965/1965763/cover/1965763.jpg", "Обложка")</f>
        <v>Обложка</v>
      </c>
      <c r="V772" s="24" t="str">
        <f>HYPERLINK("https://znanium.ru/catalog/product/1010665", "Ознакомиться")</f>
        <v>Ознакомиться</v>
      </c>
      <c r="W772" s="8" t="s">
        <v>5092</v>
      </c>
      <c r="X772" s="6"/>
      <c r="Y772" s="6" t="s">
        <v>30</v>
      </c>
      <c r="Z772" s="6" t="s">
        <v>207</v>
      </c>
      <c r="AA772" s="6" t="s">
        <v>740</v>
      </c>
      <c r="AB772" s="8"/>
    </row>
    <row r="773" spans="1:28" s="4" customFormat="1" ht="51.95" customHeight="1">
      <c r="A773" s="5">
        <v>0</v>
      </c>
      <c r="B773" s="6" t="s">
        <v>5093</v>
      </c>
      <c r="C773" s="7">
        <v>1794</v>
      </c>
      <c r="D773" s="8" t="s">
        <v>5094</v>
      </c>
      <c r="E773" s="8" t="s">
        <v>5095</v>
      </c>
      <c r="F773" s="8" t="s">
        <v>5096</v>
      </c>
      <c r="G773" s="6" t="s">
        <v>38</v>
      </c>
      <c r="H773" s="6" t="s">
        <v>54</v>
      </c>
      <c r="I773" s="8" t="s">
        <v>40</v>
      </c>
      <c r="J773" s="9">
        <v>1</v>
      </c>
      <c r="K773" s="9">
        <v>359</v>
      </c>
      <c r="L773" s="9">
        <v>2025</v>
      </c>
      <c r="M773" s="8" t="s">
        <v>5097</v>
      </c>
      <c r="N773" s="8" t="s">
        <v>42</v>
      </c>
      <c r="O773" s="8" t="s">
        <v>553</v>
      </c>
      <c r="P773" s="6" t="s">
        <v>44</v>
      </c>
      <c r="Q773" s="8" t="s">
        <v>45</v>
      </c>
      <c r="R773" s="10" t="s">
        <v>5098</v>
      </c>
      <c r="S773" s="11" t="s">
        <v>5099</v>
      </c>
      <c r="T773" s="6"/>
      <c r="U773" s="24" t="str">
        <f>HYPERLINK("https://media.infra-m.ru/2160/2160901/cover/2160901.jpg", "Обложка")</f>
        <v>Обложка</v>
      </c>
      <c r="V773" s="24" t="str">
        <f>HYPERLINK("https://znanium.ru/catalog/product/1088341", "Ознакомиться")</f>
        <v>Ознакомиться</v>
      </c>
      <c r="W773" s="8" t="s">
        <v>5100</v>
      </c>
      <c r="X773" s="6"/>
      <c r="Y773" s="6"/>
      <c r="Z773" s="6" t="s">
        <v>48</v>
      </c>
      <c r="AA773" s="6" t="s">
        <v>740</v>
      </c>
      <c r="AB773" s="8"/>
    </row>
    <row r="774" spans="1:28" s="4" customFormat="1" ht="51.95" customHeight="1">
      <c r="A774" s="5">
        <v>0</v>
      </c>
      <c r="B774" s="6" t="s">
        <v>5101</v>
      </c>
      <c r="C774" s="7">
        <v>1354</v>
      </c>
      <c r="D774" s="8" t="s">
        <v>5102</v>
      </c>
      <c r="E774" s="8" t="s">
        <v>5103</v>
      </c>
      <c r="F774" s="8" t="s">
        <v>5104</v>
      </c>
      <c r="G774" s="6" t="s">
        <v>90</v>
      </c>
      <c r="H774" s="6" t="s">
        <v>299</v>
      </c>
      <c r="I774" s="8" t="s">
        <v>69</v>
      </c>
      <c r="J774" s="9">
        <v>1</v>
      </c>
      <c r="K774" s="9">
        <v>271</v>
      </c>
      <c r="L774" s="9">
        <v>2025</v>
      </c>
      <c r="M774" s="8" t="s">
        <v>5105</v>
      </c>
      <c r="N774" s="8" t="s">
        <v>125</v>
      </c>
      <c r="O774" s="8" t="s">
        <v>2508</v>
      </c>
      <c r="P774" s="6" t="s">
        <v>58</v>
      </c>
      <c r="Q774" s="8" t="s">
        <v>45</v>
      </c>
      <c r="R774" s="10" t="s">
        <v>5106</v>
      </c>
      <c r="S774" s="11" t="s">
        <v>3286</v>
      </c>
      <c r="T774" s="6"/>
      <c r="U774" s="24" t="str">
        <f>HYPERLINK("https://media.infra-m.ru/2185/2185898/cover/2185898.jpg", "Обложка")</f>
        <v>Обложка</v>
      </c>
      <c r="V774" s="24" t="str">
        <f>HYPERLINK("https://znanium.ru/catalog/product/1239538", "Ознакомиться")</f>
        <v>Ознакомиться</v>
      </c>
      <c r="W774" s="8" t="s">
        <v>4166</v>
      </c>
      <c r="X774" s="6"/>
      <c r="Y774" s="6"/>
      <c r="Z774" s="6"/>
      <c r="AA774" s="6" t="s">
        <v>810</v>
      </c>
      <c r="AB774" s="8"/>
    </row>
    <row r="775" spans="1:28" s="4" customFormat="1" ht="51.95" customHeight="1">
      <c r="A775" s="5">
        <v>0</v>
      </c>
      <c r="B775" s="6" t="s">
        <v>5107</v>
      </c>
      <c r="C775" s="7">
        <v>1164</v>
      </c>
      <c r="D775" s="8" t="s">
        <v>5108</v>
      </c>
      <c r="E775" s="8" t="s">
        <v>5103</v>
      </c>
      <c r="F775" s="8" t="s">
        <v>5109</v>
      </c>
      <c r="G775" s="6" t="s">
        <v>38</v>
      </c>
      <c r="H775" s="6" t="s">
        <v>39</v>
      </c>
      <c r="I775" s="8"/>
      <c r="J775" s="9">
        <v>1</v>
      </c>
      <c r="K775" s="9">
        <v>224</v>
      </c>
      <c r="L775" s="9">
        <v>2026</v>
      </c>
      <c r="M775" s="8" t="s">
        <v>5110</v>
      </c>
      <c r="N775" s="8" t="s">
        <v>125</v>
      </c>
      <c r="O775" s="8" t="s">
        <v>2508</v>
      </c>
      <c r="P775" s="6" t="s">
        <v>44</v>
      </c>
      <c r="Q775" s="8" t="s">
        <v>45</v>
      </c>
      <c r="R775" s="10" t="s">
        <v>5111</v>
      </c>
      <c r="S775" s="11" t="s">
        <v>1100</v>
      </c>
      <c r="T775" s="6"/>
      <c r="U775" s="24" t="str">
        <f>HYPERLINK("https://media.infra-m.ru/2222/2222243/cover/2222243.jpg", "Обложка")</f>
        <v>Обложка</v>
      </c>
      <c r="V775" s="24" t="str">
        <f>HYPERLINK("https://znanium.ru/catalog/product/1819050", "Ознакомиться")</f>
        <v>Ознакомиться</v>
      </c>
      <c r="W775" s="8" t="s">
        <v>94</v>
      </c>
      <c r="X775" s="6"/>
      <c r="Y775" s="6"/>
      <c r="Z775" s="6"/>
      <c r="AA775" s="6" t="s">
        <v>810</v>
      </c>
      <c r="AB775" s="8"/>
    </row>
    <row r="776" spans="1:28" s="4" customFormat="1" ht="51.95" customHeight="1">
      <c r="A776" s="5">
        <v>0</v>
      </c>
      <c r="B776" s="6" t="s">
        <v>5112</v>
      </c>
      <c r="C776" s="7">
        <v>1334</v>
      </c>
      <c r="D776" s="8" t="s">
        <v>5113</v>
      </c>
      <c r="E776" s="8" t="s">
        <v>5114</v>
      </c>
      <c r="F776" s="8" t="s">
        <v>5115</v>
      </c>
      <c r="G776" s="6" t="s">
        <v>38</v>
      </c>
      <c r="H776" s="6" t="s">
        <v>39</v>
      </c>
      <c r="I776" s="8" t="s">
        <v>69</v>
      </c>
      <c r="J776" s="9">
        <v>1</v>
      </c>
      <c r="K776" s="9">
        <v>256</v>
      </c>
      <c r="L776" s="9">
        <v>2025</v>
      </c>
      <c r="M776" s="8" t="s">
        <v>5116</v>
      </c>
      <c r="N776" s="8" t="s">
        <v>125</v>
      </c>
      <c r="O776" s="8" t="s">
        <v>2508</v>
      </c>
      <c r="P776" s="6" t="s">
        <v>44</v>
      </c>
      <c r="Q776" s="8" t="s">
        <v>45</v>
      </c>
      <c r="R776" s="10" t="s">
        <v>5117</v>
      </c>
      <c r="S776" s="11" t="s">
        <v>2555</v>
      </c>
      <c r="T776" s="6"/>
      <c r="U776" s="24" t="str">
        <f>HYPERLINK("https://media.infra-m.ru/2193/2193178/cover/2193178.jpg", "Обложка")</f>
        <v>Обложка</v>
      </c>
      <c r="V776" s="24" t="str">
        <f>HYPERLINK("https://znanium.ru/catalog/product/1001520", "Ознакомиться")</f>
        <v>Ознакомиться</v>
      </c>
      <c r="W776" s="8" t="s">
        <v>94</v>
      </c>
      <c r="X776" s="6"/>
      <c r="Y776" s="6"/>
      <c r="Z776" s="6"/>
      <c r="AA776" s="6" t="s">
        <v>278</v>
      </c>
      <c r="AB776" s="8"/>
    </row>
    <row r="777" spans="1:28" s="4" customFormat="1" ht="51.95" customHeight="1">
      <c r="A777" s="5">
        <v>0</v>
      </c>
      <c r="B777" s="6" t="s">
        <v>5118</v>
      </c>
      <c r="C777" s="7">
        <v>1124</v>
      </c>
      <c r="D777" s="8" t="s">
        <v>5119</v>
      </c>
      <c r="E777" s="8" t="s">
        <v>5103</v>
      </c>
      <c r="F777" s="8" t="s">
        <v>5120</v>
      </c>
      <c r="G777" s="6" t="s">
        <v>90</v>
      </c>
      <c r="H777" s="6" t="s">
        <v>54</v>
      </c>
      <c r="I777" s="8" t="s">
        <v>40</v>
      </c>
      <c r="J777" s="9">
        <v>1</v>
      </c>
      <c r="K777" s="9">
        <v>204</v>
      </c>
      <c r="L777" s="9">
        <v>2026</v>
      </c>
      <c r="M777" s="8" t="s">
        <v>5121</v>
      </c>
      <c r="N777" s="8" t="s">
        <v>125</v>
      </c>
      <c r="O777" s="8" t="s">
        <v>2508</v>
      </c>
      <c r="P777" s="6" t="s">
        <v>44</v>
      </c>
      <c r="Q777" s="8" t="s">
        <v>45</v>
      </c>
      <c r="R777" s="10" t="s">
        <v>5122</v>
      </c>
      <c r="S777" s="11" t="s">
        <v>5123</v>
      </c>
      <c r="T777" s="6"/>
      <c r="U777" s="24" t="str">
        <f>HYPERLINK("https://media.infra-m.ru/2224/2224182/cover/2224182.jpg", "Обложка")</f>
        <v>Обложка</v>
      </c>
      <c r="V777" s="24" t="str">
        <f>HYPERLINK("https://znanium.ru/catalog/product/1032374", "Ознакомиться")</f>
        <v>Ознакомиться</v>
      </c>
      <c r="W777" s="8" t="s">
        <v>2443</v>
      </c>
      <c r="X777" s="6"/>
      <c r="Y777" s="6"/>
      <c r="Z777" s="6"/>
      <c r="AA777" s="6" t="s">
        <v>3228</v>
      </c>
      <c r="AB777" s="8"/>
    </row>
    <row r="778" spans="1:28" s="4" customFormat="1" ht="51.95" customHeight="1">
      <c r="A778" s="5">
        <v>0</v>
      </c>
      <c r="B778" s="6" t="s">
        <v>5124</v>
      </c>
      <c r="C778" s="7">
        <v>1980</v>
      </c>
      <c r="D778" s="8" t="s">
        <v>5125</v>
      </c>
      <c r="E778" s="8" t="s">
        <v>5126</v>
      </c>
      <c r="F778" s="8" t="s">
        <v>5127</v>
      </c>
      <c r="G778" s="6" t="s">
        <v>90</v>
      </c>
      <c r="H778" s="6" t="s">
        <v>54</v>
      </c>
      <c r="I778" s="8" t="s">
        <v>40</v>
      </c>
      <c r="J778" s="9">
        <v>1</v>
      </c>
      <c r="K778" s="9">
        <v>396</v>
      </c>
      <c r="L778" s="9">
        <v>2025</v>
      </c>
      <c r="M778" s="8" t="s">
        <v>5128</v>
      </c>
      <c r="N778" s="8" t="s">
        <v>1306</v>
      </c>
      <c r="O778" s="8" t="s">
        <v>1307</v>
      </c>
      <c r="P778" s="6" t="s">
        <v>58</v>
      </c>
      <c r="Q778" s="8" t="s">
        <v>45</v>
      </c>
      <c r="R778" s="10" t="s">
        <v>5129</v>
      </c>
      <c r="S778" s="11" t="s">
        <v>5130</v>
      </c>
      <c r="T778" s="6"/>
      <c r="U778" s="24" t="str">
        <f>HYPERLINK("https://media.infra-m.ru/2165/2165435/cover/2165435.jpg", "Обложка")</f>
        <v>Обложка</v>
      </c>
      <c r="V778" s="24" t="str">
        <f>HYPERLINK("https://znanium.ru/catalog/product/2165435", "Ознакомиться")</f>
        <v>Ознакомиться</v>
      </c>
      <c r="W778" s="8" t="s">
        <v>5131</v>
      </c>
      <c r="X778" s="6"/>
      <c r="Y778" s="6"/>
      <c r="Z778" s="6" t="s">
        <v>48</v>
      </c>
      <c r="AA778" s="6" t="s">
        <v>111</v>
      </c>
      <c r="AB778" s="8"/>
    </row>
    <row r="779" spans="1:28" s="4" customFormat="1" ht="51.95" customHeight="1">
      <c r="A779" s="5">
        <v>0</v>
      </c>
      <c r="B779" s="6" t="s">
        <v>5132</v>
      </c>
      <c r="C779" s="13">
        <v>994</v>
      </c>
      <c r="D779" s="8" t="s">
        <v>5133</v>
      </c>
      <c r="E779" s="8" t="s">
        <v>5134</v>
      </c>
      <c r="F779" s="8" t="s">
        <v>1907</v>
      </c>
      <c r="G779" s="6" t="s">
        <v>38</v>
      </c>
      <c r="H779" s="6" t="s">
        <v>299</v>
      </c>
      <c r="I779" s="8" t="s">
        <v>69</v>
      </c>
      <c r="J779" s="9">
        <v>1</v>
      </c>
      <c r="K779" s="9">
        <v>192</v>
      </c>
      <c r="L779" s="9">
        <v>2025</v>
      </c>
      <c r="M779" s="8" t="s">
        <v>5135</v>
      </c>
      <c r="N779" s="8" t="s">
        <v>125</v>
      </c>
      <c r="O779" s="8" t="s">
        <v>4158</v>
      </c>
      <c r="P779" s="6" t="s">
        <v>44</v>
      </c>
      <c r="Q779" s="8" t="s">
        <v>45</v>
      </c>
      <c r="R779" s="10" t="s">
        <v>3460</v>
      </c>
      <c r="S779" s="11" t="s">
        <v>5136</v>
      </c>
      <c r="T779" s="6"/>
      <c r="U779" s="24" t="str">
        <f>HYPERLINK("https://media.infra-m.ru/2187/2187041/cover/2187041.jpg", "Обложка")</f>
        <v>Обложка</v>
      </c>
      <c r="V779" s="24" t="str">
        <f>HYPERLINK("https://znanium.ru/catalog/product/1819258", "Ознакомиться")</f>
        <v>Ознакомиться</v>
      </c>
      <c r="W779" s="8" t="s">
        <v>180</v>
      </c>
      <c r="X779" s="6"/>
      <c r="Y779" s="6"/>
      <c r="Z779" s="6"/>
      <c r="AA779" s="6" t="s">
        <v>278</v>
      </c>
      <c r="AB779" s="8"/>
    </row>
    <row r="780" spans="1:28" s="4" customFormat="1" ht="51.95" customHeight="1">
      <c r="A780" s="5">
        <v>0</v>
      </c>
      <c r="B780" s="6" t="s">
        <v>5137</v>
      </c>
      <c r="C780" s="7">
        <v>1920</v>
      </c>
      <c r="D780" s="8" t="s">
        <v>5138</v>
      </c>
      <c r="E780" s="8" t="s">
        <v>5139</v>
      </c>
      <c r="F780" s="8" t="s">
        <v>308</v>
      </c>
      <c r="G780" s="6" t="s">
        <v>90</v>
      </c>
      <c r="H780" s="6" t="s">
        <v>54</v>
      </c>
      <c r="I780" s="8" t="s">
        <v>40</v>
      </c>
      <c r="J780" s="9">
        <v>1</v>
      </c>
      <c r="K780" s="9">
        <v>368</v>
      </c>
      <c r="L780" s="9">
        <v>2026</v>
      </c>
      <c r="M780" s="8" t="s">
        <v>5140</v>
      </c>
      <c r="N780" s="8" t="s">
        <v>42</v>
      </c>
      <c r="O780" s="8" t="s">
        <v>243</v>
      </c>
      <c r="P780" s="6" t="s">
        <v>44</v>
      </c>
      <c r="Q780" s="8" t="s">
        <v>45</v>
      </c>
      <c r="R780" s="10" t="s">
        <v>1882</v>
      </c>
      <c r="S780" s="11" t="s">
        <v>311</v>
      </c>
      <c r="T780" s="6"/>
      <c r="U780" s="24" t="str">
        <f>HYPERLINK("https://media.infra-m.ru/2213/2213292/cover/2213292.jpg", "Обложка")</f>
        <v>Обложка</v>
      </c>
      <c r="V780" s="24" t="str">
        <f>HYPERLINK("https://znanium.ru/catalog/product/2213292", "Ознакомиться")</f>
        <v>Ознакомиться</v>
      </c>
      <c r="W780" s="8" t="s">
        <v>312</v>
      </c>
      <c r="X780" s="6"/>
      <c r="Y780" s="6" t="s">
        <v>30</v>
      </c>
      <c r="Z780" s="6"/>
      <c r="AA780" s="6" t="s">
        <v>270</v>
      </c>
      <c r="AB780" s="8"/>
    </row>
    <row r="781" spans="1:28" s="4" customFormat="1" ht="51.95" customHeight="1">
      <c r="A781" s="5">
        <v>0</v>
      </c>
      <c r="B781" s="6" t="s">
        <v>5141</v>
      </c>
      <c r="C781" s="13">
        <v>900</v>
      </c>
      <c r="D781" s="8" t="s">
        <v>5142</v>
      </c>
      <c r="E781" s="8" t="s">
        <v>5143</v>
      </c>
      <c r="F781" s="8" t="s">
        <v>5144</v>
      </c>
      <c r="G781" s="6" t="s">
        <v>90</v>
      </c>
      <c r="H781" s="6" t="s">
        <v>39</v>
      </c>
      <c r="I781" s="8" t="s">
        <v>40</v>
      </c>
      <c r="J781" s="9">
        <v>1</v>
      </c>
      <c r="K781" s="9">
        <v>194</v>
      </c>
      <c r="L781" s="9">
        <v>2024</v>
      </c>
      <c r="M781" s="8" t="s">
        <v>5145</v>
      </c>
      <c r="N781" s="8" t="s">
        <v>42</v>
      </c>
      <c r="O781" s="8" t="s">
        <v>43</v>
      </c>
      <c r="P781" s="6" t="s">
        <v>44</v>
      </c>
      <c r="Q781" s="8" t="s">
        <v>45</v>
      </c>
      <c r="R781" s="10" t="s">
        <v>5146</v>
      </c>
      <c r="S781" s="11" t="s">
        <v>5147</v>
      </c>
      <c r="T781" s="6"/>
      <c r="U781" s="24" t="str">
        <f>HYPERLINK("https://media.infra-m.ru/2120/2120767/cover/2120767.jpg", "Обложка")</f>
        <v>Обложка</v>
      </c>
      <c r="V781" s="24" t="str">
        <f>HYPERLINK("https://znanium.ru/catalog/product/2120767", "Ознакомиться")</f>
        <v>Ознакомиться</v>
      </c>
      <c r="W781" s="8" t="s">
        <v>5148</v>
      </c>
      <c r="X781" s="6"/>
      <c r="Y781" s="6"/>
      <c r="Z781" s="6"/>
      <c r="AA781" s="6" t="s">
        <v>999</v>
      </c>
      <c r="AB781" s="8"/>
    </row>
    <row r="782" spans="1:28" s="4" customFormat="1" ht="51.95" customHeight="1">
      <c r="A782" s="5">
        <v>0</v>
      </c>
      <c r="B782" s="6" t="s">
        <v>5149</v>
      </c>
      <c r="C782" s="13">
        <v>464.9</v>
      </c>
      <c r="D782" s="8" t="s">
        <v>5150</v>
      </c>
      <c r="E782" s="8" t="s">
        <v>5151</v>
      </c>
      <c r="F782" s="8" t="s">
        <v>5144</v>
      </c>
      <c r="G782" s="6" t="s">
        <v>67</v>
      </c>
      <c r="H782" s="6" t="s">
        <v>39</v>
      </c>
      <c r="I782" s="8"/>
      <c r="J782" s="9">
        <v>1</v>
      </c>
      <c r="K782" s="9">
        <v>96</v>
      </c>
      <c r="L782" s="9">
        <v>2021</v>
      </c>
      <c r="M782" s="8" t="s">
        <v>5152</v>
      </c>
      <c r="N782" s="8" t="s">
        <v>42</v>
      </c>
      <c r="O782" s="8" t="s">
        <v>43</v>
      </c>
      <c r="P782" s="6" t="s">
        <v>44</v>
      </c>
      <c r="Q782" s="8" t="s">
        <v>45</v>
      </c>
      <c r="R782" s="10" t="s">
        <v>5146</v>
      </c>
      <c r="S782" s="11" t="s">
        <v>5153</v>
      </c>
      <c r="T782" s="6"/>
      <c r="U782" s="24" t="str">
        <f>HYPERLINK("https://media.infra-m.ru/1212/1212527/cover/1212527.jpg", "Обложка")</f>
        <v>Обложка</v>
      </c>
      <c r="V782" s="24" t="str">
        <f>HYPERLINK("https://znanium.ru/catalog/product/2120767", "Ознакомиться")</f>
        <v>Ознакомиться</v>
      </c>
      <c r="W782" s="8" t="s">
        <v>5148</v>
      </c>
      <c r="X782" s="6"/>
      <c r="Y782" s="6"/>
      <c r="Z782" s="6"/>
      <c r="AA782" s="6" t="s">
        <v>147</v>
      </c>
      <c r="AB782" s="8"/>
    </row>
    <row r="783" spans="1:28" s="4" customFormat="1" ht="51.95" customHeight="1">
      <c r="A783" s="5">
        <v>0</v>
      </c>
      <c r="B783" s="6" t="s">
        <v>5154</v>
      </c>
      <c r="C783" s="7">
        <v>1090</v>
      </c>
      <c r="D783" s="8" t="s">
        <v>5155</v>
      </c>
      <c r="E783" s="8" t="s">
        <v>5156</v>
      </c>
      <c r="F783" s="8" t="s">
        <v>5157</v>
      </c>
      <c r="G783" s="6" t="s">
        <v>90</v>
      </c>
      <c r="H783" s="6" t="s">
        <v>54</v>
      </c>
      <c r="I783" s="8" t="s">
        <v>40</v>
      </c>
      <c r="J783" s="9">
        <v>1</v>
      </c>
      <c r="K783" s="9">
        <v>320</v>
      </c>
      <c r="L783" s="9">
        <v>2019</v>
      </c>
      <c r="M783" s="8" t="s">
        <v>5158</v>
      </c>
      <c r="N783" s="8" t="s">
        <v>42</v>
      </c>
      <c r="O783" s="8" t="s">
        <v>243</v>
      </c>
      <c r="P783" s="6" t="s">
        <v>44</v>
      </c>
      <c r="Q783" s="8" t="s">
        <v>45</v>
      </c>
      <c r="R783" s="10" t="s">
        <v>5159</v>
      </c>
      <c r="S783" s="11" t="s">
        <v>5160</v>
      </c>
      <c r="T783" s="6"/>
      <c r="U783" s="24" t="str">
        <f>HYPERLINK("https://media.infra-m.ru/1023/1023805/cover/1023805.jpg", "Обложка")</f>
        <v>Обложка</v>
      </c>
      <c r="V783" s="24" t="str">
        <f>HYPERLINK("https://znanium.ru/catalog/product/1023805", "Ознакомиться")</f>
        <v>Ознакомиться</v>
      </c>
      <c r="W783" s="8" t="s">
        <v>4459</v>
      </c>
      <c r="X783" s="6"/>
      <c r="Y783" s="6"/>
      <c r="Z783" s="6" t="s">
        <v>207</v>
      </c>
      <c r="AA783" s="6" t="s">
        <v>111</v>
      </c>
      <c r="AB783" s="8"/>
    </row>
    <row r="784" spans="1:28" s="4" customFormat="1" ht="51.95" customHeight="1">
      <c r="A784" s="5">
        <v>0</v>
      </c>
      <c r="B784" s="6" t="s">
        <v>5161</v>
      </c>
      <c r="C784" s="7">
        <v>1524</v>
      </c>
      <c r="D784" s="8" t="s">
        <v>5162</v>
      </c>
      <c r="E784" s="8" t="s">
        <v>5163</v>
      </c>
      <c r="F784" s="8" t="s">
        <v>5164</v>
      </c>
      <c r="G784" s="6" t="s">
        <v>38</v>
      </c>
      <c r="H784" s="6" t="s">
        <v>299</v>
      </c>
      <c r="I784" s="8" t="s">
        <v>40</v>
      </c>
      <c r="J784" s="9">
        <v>1</v>
      </c>
      <c r="K784" s="9">
        <v>336</v>
      </c>
      <c r="L784" s="9">
        <v>2023</v>
      </c>
      <c r="M784" s="8" t="s">
        <v>5165</v>
      </c>
      <c r="N784" s="8" t="s">
        <v>42</v>
      </c>
      <c r="O784" s="8" t="s">
        <v>219</v>
      </c>
      <c r="P784" s="6" t="s">
        <v>44</v>
      </c>
      <c r="Q784" s="8" t="s">
        <v>45</v>
      </c>
      <c r="R784" s="10" t="s">
        <v>5166</v>
      </c>
      <c r="S784" s="11"/>
      <c r="T784" s="6"/>
      <c r="U784" s="24" t="str">
        <f>HYPERLINK("https://media.infra-m.ru/2021/2021437/cover/2021437.jpg", "Обложка")</f>
        <v>Обложка</v>
      </c>
      <c r="V784" s="24" t="str">
        <f>HYPERLINK("https://znanium.ru/catalog/product/961566", "Ознакомиться")</f>
        <v>Ознакомиться</v>
      </c>
      <c r="W784" s="8" t="s">
        <v>3749</v>
      </c>
      <c r="X784" s="6"/>
      <c r="Y784" s="6"/>
      <c r="Z784" s="6" t="s">
        <v>48</v>
      </c>
      <c r="AA784" s="6" t="s">
        <v>223</v>
      </c>
      <c r="AB784" s="8"/>
    </row>
    <row r="785" spans="1:28" s="4" customFormat="1" ht="51.95" customHeight="1">
      <c r="A785" s="5">
        <v>0</v>
      </c>
      <c r="B785" s="6" t="s">
        <v>5167</v>
      </c>
      <c r="C785" s="7">
        <v>2290</v>
      </c>
      <c r="D785" s="8" t="s">
        <v>5168</v>
      </c>
      <c r="E785" s="8" t="s">
        <v>5169</v>
      </c>
      <c r="F785" s="8" t="s">
        <v>5170</v>
      </c>
      <c r="G785" s="6" t="s">
        <v>90</v>
      </c>
      <c r="H785" s="6" t="s">
        <v>299</v>
      </c>
      <c r="I785" s="8" t="s">
        <v>40</v>
      </c>
      <c r="J785" s="9">
        <v>1</v>
      </c>
      <c r="K785" s="9">
        <v>448</v>
      </c>
      <c r="L785" s="9">
        <v>2023</v>
      </c>
      <c r="M785" s="8" t="s">
        <v>5171</v>
      </c>
      <c r="N785" s="8" t="s">
        <v>42</v>
      </c>
      <c r="O785" s="8" t="s">
        <v>219</v>
      </c>
      <c r="P785" s="6" t="s">
        <v>44</v>
      </c>
      <c r="Q785" s="8" t="s">
        <v>45</v>
      </c>
      <c r="R785" s="10" t="s">
        <v>5172</v>
      </c>
      <c r="S785" s="11" t="s">
        <v>5173</v>
      </c>
      <c r="T785" s="6"/>
      <c r="U785" s="24" t="str">
        <f>HYPERLINK("https://media.infra-m.ru/1979/1979055/cover/1979055.jpg", "Обложка")</f>
        <v>Обложка</v>
      </c>
      <c r="V785" s="24" t="str">
        <f>HYPERLINK("https://znanium.ru/catalog/product/1979055", "Ознакомиться")</f>
        <v>Ознакомиться</v>
      </c>
      <c r="W785" s="8" t="s">
        <v>3749</v>
      </c>
      <c r="X785" s="6"/>
      <c r="Y785" s="6"/>
      <c r="Z785" s="6" t="s">
        <v>48</v>
      </c>
      <c r="AA785" s="6" t="s">
        <v>223</v>
      </c>
      <c r="AB785" s="8"/>
    </row>
    <row r="786" spans="1:28" s="4" customFormat="1" ht="51.95" customHeight="1">
      <c r="A786" s="5">
        <v>0</v>
      </c>
      <c r="B786" s="6" t="s">
        <v>5174</v>
      </c>
      <c r="C786" s="7">
        <v>2440</v>
      </c>
      <c r="D786" s="8" t="s">
        <v>5175</v>
      </c>
      <c r="E786" s="8" t="s">
        <v>5176</v>
      </c>
      <c r="F786" s="8" t="s">
        <v>2923</v>
      </c>
      <c r="G786" s="6" t="s">
        <v>38</v>
      </c>
      <c r="H786" s="6" t="s">
        <v>54</v>
      </c>
      <c r="I786" s="8" t="s">
        <v>1997</v>
      </c>
      <c r="J786" s="9">
        <v>1</v>
      </c>
      <c r="K786" s="9">
        <v>487</v>
      </c>
      <c r="L786" s="9">
        <v>2025</v>
      </c>
      <c r="M786" s="8" t="s">
        <v>5177</v>
      </c>
      <c r="N786" s="8" t="s">
        <v>42</v>
      </c>
      <c r="O786" s="8" t="s">
        <v>169</v>
      </c>
      <c r="P786" s="6" t="s">
        <v>58</v>
      </c>
      <c r="Q786" s="8" t="s">
        <v>45</v>
      </c>
      <c r="R786" s="10" t="s">
        <v>5178</v>
      </c>
      <c r="S786" s="11" t="s">
        <v>5179</v>
      </c>
      <c r="T786" s="6"/>
      <c r="U786" s="24" t="str">
        <f>HYPERLINK("https://media.infra-m.ru/2171/2171238/cover/2171238.jpg", "Обложка")</f>
        <v>Обложка</v>
      </c>
      <c r="V786" s="24" t="str">
        <f>HYPERLINK("https://znanium.ru/catalog/product/2171238", "Ознакомиться")</f>
        <v>Ознакомиться</v>
      </c>
      <c r="W786" s="8" t="s">
        <v>2000</v>
      </c>
      <c r="X786" s="6"/>
      <c r="Y786" s="6"/>
      <c r="Z786" s="6" t="s">
        <v>48</v>
      </c>
      <c r="AA786" s="6" t="s">
        <v>563</v>
      </c>
      <c r="AB786" s="8"/>
    </row>
    <row r="787" spans="1:28" s="4" customFormat="1" ht="51.95" customHeight="1">
      <c r="A787" s="5">
        <v>0</v>
      </c>
      <c r="B787" s="6" t="s">
        <v>5180</v>
      </c>
      <c r="C787" s="7">
        <v>1540</v>
      </c>
      <c r="D787" s="8" t="s">
        <v>5181</v>
      </c>
      <c r="E787" s="8" t="s">
        <v>5182</v>
      </c>
      <c r="F787" s="8" t="s">
        <v>5183</v>
      </c>
      <c r="G787" s="6" t="s">
        <v>90</v>
      </c>
      <c r="H787" s="6" t="s">
        <v>54</v>
      </c>
      <c r="I787" s="8" t="s">
        <v>40</v>
      </c>
      <c r="J787" s="9">
        <v>1</v>
      </c>
      <c r="K787" s="9">
        <v>295</v>
      </c>
      <c r="L787" s="9">
        <v>2025</v>
      </c>
      <c r="M787" s="8" t="s">
        <v>5184</v>
      </c>
      <c r="N787" s="8" t="s">
        <v>42</v>
      </c>
      <c r="O787" s="8" t="s">
        <v>319</v>
      </c>
      <c r="P787" s="6" t="s">
        <v>58</v>
      </c>
      <c r="Q787" s="8" t="s">
        <v>45</v>
      </c>
      <c r="R787" s="10" t="s">
        <v>5185</v>
      </c>
      <c r="S787" s="11" t="s">
        <v>5186</v>
      </c>
      <c r="T787" s="6"/>
      <c r="U787" s="24" t="str">
        <f>HYPERLINK("https://media.infra-m.ru/2205/2205566/cover/2205566.jpg", "Обложка")</f>
        <v>Обложка</v>
      </c>
      <c r="V787" s="24" t="str">
        <f>HYPERLINK("https://znanium.ru/catalog/product/2205566", "Ознакомиться")</f>
        <v>Ознакомиться</v>
      </c>
      <c r="W787" s="8"/>
      <c r="X787" s="6"/>
      <c r="Y787" s="6"/>
      <c r="Z787" s="6" t="s">
        <v>48</v>
      </c>
      <c r="AA787" s="6" t="s">
        <v>2226</v>
      </c>
      <c r="AB787" s="8"/>
    </row>
    <row r="788" spans="1:28" s="4" customFormat="1" ht="51.95" customHeight="1">
      <c r="A788" s="5">
        <v>0</v>
      </c>
      <c r="B788" s="6" t="s">
        <v>5187</v>
      </c>
      <c r="C788" s="7">
        <v>1150</v>
      </c>
      <c r="D788" s="8" t="s">
        <v>5188</v>
      </c>
      <c r="E788" s="8" t="s">
        <v>5189</v>
      </c>
      <c r="F788" s="8" t="s">
        <v>5190</v>
      </c>
      <c r="G788" s="6" t="s">
        <v>90</v>
      </c>
      <c r="H788" s="6" t="s">
        <v>54</v>
      </c>
      <c r="I788" s="8" t="s">
        <v>40</v>
      </c>
      <c r="J788" s="9">
        <v>1</v>
      </c>
      <c r="K788" s="9">
        <v>208</v>
      </c>
      <c r="L788" s="9">
        <v>2026</v>
      </c>
      <c r="M788" s="8" t="s">
        <v>5191</v>
      </c>
      <c r="N788" s="8" t="s">
        <v>42</v>
      </c>
      <c r="O788" s="8" t="s">
        <v>187</v>
      </c>
      <c r="P788" s="6" t="s">
        <v>58</v>
      </c>
      <c r="Q788" s="8" t="s">
        <v>45</v>
      </c>
      <c r="R788" s="10" t="s">
        <v>5192</v>
      </c>
      <c r="S788" s="11" t="s">
        <v>2805</v>
      </c>
      <c r="T788" s="6"/>
      <c r="U788" s="24" t="str">
        <f>HYPERLINK("https://media.infra-m.ru/2215/2215373/cover/2215373.jpg", "Обложка")</f>
        <v>Обложка</v>
      </c>
      <c r="V788" s="24" t="str">
        <f>HYPERLINK("https://znanium.ru/catalog/product/2215373", "Ознакомиться")</f>
        <v>Ознакомиться</v>
      </c>
      <c r="W788" s="8" t="s">
        <v>190</v>
      </c>
      <c r="X788" s="6"/>
      <c r="Y788" s="6" t="s">
        <v>30</v>
      </c>
      <c r="Z788" s="6"/>
      <c r="AA788" s="6" t="s">
        <v>1526</v>
      </c>
      <c r="AB788" s="8"/>
    </row>
    <row r="789" spans="1:28" s="4" customFormat="1" ht="51.95" customHeight="1">
      <c r="A789" s="5">
        <v>0</v>
      </c>
      <c r="B789" s="6" t="s">
        <v>5193</v>
      </c>
      <c r="C789" s="7">
        <v>1534</v>
      </c>
      <c r="D789" s="8" t="s">
        <v>5194</v>
      </c>
      <c r="E789" s="8" t="s">
        <v>5195</v>
      </c>
      <c r="F789" s="8" t="s">
        <v>5196</v>
      </c>
      <c r="G789" s="6" t="s">
        <v>38</v>
      </c>
      <c r="H789" s="6" t="s">
        <v>54</v>
      </c>
      <c r="I789" s="8" t="s">
        <v>40</v>
      </c>
      <c r="J789" s="9">
        <v>1</v>
      </c>
      <c r="K789" s="9">
        <v>295</v>
      </c>
      <c r="L789" s="9">
        <v>2025</v>
      </c>
      <c r="M789" s="8" t="s">
        <v>5197</v>
      </c>
      <c r="N789" s="8" t="s">
        <v>42</v>
      </c>
      <c r="O789" s="8" t="s">
        <v>169</v>
      </c>
      <c r="P789" s="6" t="s">
        <v>58</v>
      </c>
      <c r="Q789" s="8" t="s">
        <v>45</v>
      </c>
      <c r="R789" s="10" t="s">
        <v>5198</v>
      </c>
      <c r="S789" s="11" t="s">
        <v>5199</v>
      </c>
      <c r="T789" s="6"/>
      <c r="U789" s="24" t="str">
        <f>HYPERLINK("https://media.infra-m.ru/2222/2222597/cover/2222597.jpg", "Обложка")</f>
        <v>Обложка</v>
      </c>
      <c r="V789" s="24" t="str">
        <f>HYPERLINK("https://znanium.ru/catalog/product/1018415", "Ознакомиться")</f>
        <v>Ознакомиться</v>
      </c>
      <c r="W789" s="8" t="s">
        <v>172</v>
      </c>
      <c r="X789" s="6"/>
      <c r="Y789" s="6"/>
      <c r="Z789" s="6" t="s">
        <v>48</v>
      </c>
      <c r="AA789" s="6" t="s">
        <v>111</v>
      </c>
      <c r="AB789" s="8"/>
    </row>
    <row r="790" spans="1:28" s="4" customFormat="1" ht="51.95" customHeight="1">
      <c r="A790" s="5">
        <v>0</v>
      </c>
      <c r="B790" s="6" t="s">
        <v>5200</v>
      </c>
      <c r="C790" s="7">
        <v>1680</v>
      </c>
      <c r="D790" s="8" t="s">
        <v>5201</v>
      </c>
      <c r="E790" s="8" t="s">
        <v>5202</v>
      </c>
      <c r="F790" s="8" t="s">
        <v>5203</v>
      </c>
      <c r="G790" s="6" t="s">
        <v>90</v>
      </c>
      <c r="H790" s="6" t="s">
        <v>54</v>
      </c>
      <c r="I790" s="8" t="s">
        <v>40</v>
      </c>
      <c r="J790" s="9">
        <v>1</v>
      </c>
      <c r="K790" s="9">
        <v>330</v>
      </c>
      <c r="L790" s="9">
        <v>2025</v>
      </c>
      <c r="M790" s="8" t="s">
        <v>5204</v>
      </c>
      <c r="N790" s="8" t="s">
        <v>42</v>
      </c>
      <c r="O790" s="8" t="s">
        <v>169</v>
      </c>
      <c r="P790" s="6" t="s">
        <v>44</v>
      </c>
      <c r="Q790" s="8" t="s">
        <v>45</v>
      </c>
      <c r="R790" s="10" t="s">
        <v>5198</v>
      </c>
      <c r="S790" s="11" t="s">
        <v>5205</v>
      </c>
      <c r="T790" s="6" t="s">
        <v>118</v>
      </c>
      <c r="U790" s="24" t="str">
        <f>HYPERLINK("https://media.infra-m.ru/2184/2184895/cover/2184895.jpg", "Обложка")</f>
        <v>Обложка</v>
      </c>
      <c r="V790" s="24" t="str">
        <f>HYPERLINK("https://znanium.ru/catalog/product/2184895", "Ознакомиться")</f>
        <v>Ознакомиться</v>
      </c>
      <c r="W790" s="8" t="s">
        <v>1489</v>
      </c>
      <c r="X790" s="6"/>
      <c r="Y790" s="6"/>
      <c r="Z790" s="6" t="s">
        <v>48</v>
      </c>
      <c r="AA790" s="6" t="s">
        <v>999</v>
      </c>
      <c r="AB790" s="8"/>
    </row>
    <row r="791" spans="1:28" s="4" customFormat="1" ht="51.95" customHeight="1">
      <c r="A791" s="5">
        <v>0</v>
      </c>
      <c r="B791" s="6" t="s">
        <v>5206</v>
      </c>
      <c r="C791" s="7">
        <v>1750</v>
      </c>
      <c r="D791" s="8" t="s">
        <v>5207</v>
      </c>
      <c r="E791" s="8" t="s">
        <v>5208</v>
      </c>
      <c r="F791" s="8" t="s">
        <v>5209</v>
      </c>
      <c r="G791" s="6" t="s">
        <v>90</v>
      </c>
      <c r="H791" s="6" t="s">
        <v>54</v>
      </c>
      <c r="I791" s="8" t="s">
        <v>40</v>
      </c>
      <c r="J791" s="9">
        <v>1</v>
      </c>
      <c r="K791" s="9">
        <v>336</v>
      </c>
      <c r="L791" s="9">
        <v>2026</v>
      </c>
      <c r="M791" s="8" t="s">
        <v>5210</v>
      </c>
      <c r="N791" s="8" t="s">
        <v>125</v>
      </c>
      <c r="O791" s="8" t="s">
        <v>126</v>
      </c>
      <c r="P791" s="6" t="s">
        <v>44</v>
      </c>
      <c r="Q791" s="8" t="s">
        <v>45</v>
      </c>
      <c r="R791" s="10" t="s">
        <v>5211</v>
      </c>
      <c r="S791" s="11" t="s">
        <v>5212</v>
      </c>
      <c r="T791" s="6"/>
      <c r="U791" s="24" t="str">
        <f>HYPERLINK("https://media.infra-m.ru/2220/2220933/cover/2220933.jpg", "Обложка")</f>
        <v>Обложка</v>
      </c>
      <c r="V791" s="24" t="str">
        <f>HYPERLINK("https://znanium.ru/catalog/product/2220933", "Ознакомиться")</f>
        <v>Ознакомиться</v>
      </c>
      <c r="W791" s="8" t="s">
        <v>572</v>
      </c>
      <c r="X791" s="6"/>
      <c r="Y791" s="6"/>
      <c r="Z791" s="6" t="s">
        <v>48</v>
      </c>
      <c r="AA791" s="6" t="s">
        <v>2226</v>
      </c>
      <c r="AB791" s="8"/>
    </row>
    <row r="792" spans="1:28" s="4" customFormat="1" ht="51.95" customHeight="1">
      <c r="A792" s="5">
        <v>0</v>
      </c>
      <c r="B792" s="6" t="s">
        <v>5213</v>
      </c>
      <c r="C792" s="7">
        <v>1184</v>
      </c>
      <c r="D792" s="8" t="s">
        <v>5214</v>
      </c>
      <c r="E792" s="8" t="s">
        <v>5215</v>
      </c>
      <c r="F792" s="8" t="s">
        <v>5216</v>
      </c>
      <c r="G792" s="6" t="s">
        <v>90</v>
      </c>
      <c r="H792" s="6" t="s">
        <v>54</v>
      </c>
      <c r="I792" s="8" t="s">
        <v>40</v>
      </c>
      <c r="J792" s="9">
        <v>1</v>
      </c>
      <c r="K792" s="9">
        <v>235</v>
      </c>
      <c r="L792" s="9">
        <v>2025</v>
      </c>
      <c r="M792" s="8" t="s">
        <v>5217</v>
      </c>
      <c r="N792" s="8" t="s">
        <v>42</v>
      </c>
      <c r="O792" s="8" t="s">
        <v>169</v>
      </c>
      <c r="P792" s="6" t="s">
        <v>44</v>
      </c>
      <c r="Q792" s="8" t="s">
        <v>45</v>
      </c>
      <c r="R792" s="10" t="s">
        <v>5218</v>
      </c>
      <c r="S792" s="11" t="s">
        <v>5219</v>
      </c>
      <c r="T792" s="6"/>
      <c r="U792" s="24" t="str">
        <f>HYPERLINK("https://media.infra-m.ru/2179/2179724/cover/2179724.jpg", "Обложка")</f>
        <v>Обложка</v>
      </c>
      <c r="V792" s="24" t="str">
        <f>HYPERLINK("https://znanium.ru/catalog/product/2168928", "Ознакомиться")</f>
        <v>Ознакомиться</v>
      </c>
      <c r="W792" s="8" t="s">
        <v>1373</v>
      </c>
      <c r="X792" s="6"/>
      <c r="Y792" s="6"/>
      <c r="Z792" s="6" t="s">
        <v>48</v>
      </c>
      <c r="AA792" s="6" t="s">
        <v>111</v>
      </c>
      <c r="AB792" s="8"/>
    </row>
    <row r="793" spans="1:28" s="4" customFormat="1" ht="51.95" customHeight="1">
      <c r="A793" s="5">
        <v>0</v>
      </c>
      <c r="B793" s="6" t="s">
        <v>5220</v>
      </c>
      <c r="C793" s="7">
        <v>1144</v>
      </c>
      <c r="D793" s="8" t="s">
        <v>5221</v>
      </c>
      <c r="E793" s="8" t="s">
        <v>5222</v>
      </c>
      <c r="F793" s="8" t="s">
        <v>5223</v>
      </c>
      <c r="G793" s="6" t="s">
        <v>90</v>
      </c>
      <c r="H793" s="6" t="s">
        <v>54</v>
      </c>
      <c r="I793" s="8" t="s">
        <v>40</v>
      </c>
      <c r="J793" s="9">
        <v>1</v>
      </c>
      <c r="K793" s="9">
        <v>221</v>
      </c>
      <c r="L793" s="9">
        <v>2026</v>
      </c>
      <c r="M793" s="8" t="s">
        <v>5224</v>
      </c>
      <c r="N793" s="8" t="s">
        <v>125</v>
      </c>
      <c r="O793" s="8" t="s">
        <v>126</v>
      </c>
      <c r="P793" s="6" t="s">
        <v>44</v>
      </c>
      <c r="Q793" s="8" t="s">
        <v>45</v>
      </c>
      <c r="R793" s="10" t="s">
        <v>5225</v>
      </c>
      <c r="S793" s="11" t="s">
        <v>5226</v>
      </c>
      <c r="T793" s="6"/>
      <c r="U793" s="24" t="str">
        <f>HYPERLINK("https://media.infra-m.ru/2216/2216891/cover/2216891.jpg", "Обложка")</f>
        <v>Обложка</v>
      </c>
      <c r="V793" s="24" t="str">
        <f>HYPERLINK("https://znanium.ru/catalog/product/1976197", "Ознакомиться")</f>
        <v>Ознакомиться</v>
      </c>
      <c r="W793" s="8" t="s">
        <v>1152</v>
      </c>
      <c r="X793" s="6"/>
      <c r="Y793" s="6"/>
      <c r="Z793" s="6"/>
      <c r="AA793" s="6" t="s">
        <v>740</v>
      </c>
      <c r="AB793" s="8" t="s">
        <v>869</v>
      </c>
    </row>
    <row r="794" spans="1:28" s="4" customFormat="1" ht="51.95" customHeight="1">
      <c r="A794" s="5">
        <v>0</v>
      </c>
      <c r="B794" s="6" t="s">
        <v>5227</v>
      </c>
      <c r="C794" s="7">
        <v>1514.9</v>
      </c>
      <c r="D794" s="8" t="s">
        <v>5228</v>
      </c>
      <c r="E794" s="8" t="s">
        <v>5229</v>
      </c>
      <c r="F794" s="8" t="s">
        <v>5230</v>
      </c>
      <c r="G794" s="6" t="s">
        <v>38</v>
      </c>
      <c r="H794" s="6" t="s">
        <v>54</v>
      </c>
      <c r="I794" s="8" t="s">
        <v>40</v>
      </c>
      <c r="J794" s="9">
        <v>1</v>
      </c>
      <c r="K794" s="9">
        <v>336</v>
      </c>
      <c r="L794" s="9">
        <v>2023</v>
      </c>
      <c r="M794" s="8" t="s">
        <v>5231</v>
      </c>
      <c r="N794" s="8" t="s">
        <v>42</v>
      </c>
      <c r="O794" s="8" t="s">
        <v>187</v>
      </c>
      <c r="P794" s="6" t="s">
        <v>58</v>
      </c>
      <c r="Q794" s="8" t="s">
        <v>45</v>
      </c>
      <c r="R794" s="10" t="s">
        <v>5232</v>
      </c>
      <c r="S794" s="11" t="s">
        <v>5233</v>
      </c>
      <c r="T794" s="6"/>
      <c r="U794" s="24" t="str">
        <f>HYPERLINK("https://media.infra-m.ru/2030/2030872/cover/2030872.jpg", "Обложка")</f>
        <v>Обложка</v>
      </c>
      <c r="V794" s="24" t="str">
        <f>HYPERLINK("https://znanium.ru/catalog/product/1069050", "Ознакомиться")</f>
        <v>Ознакомиться</v>
      </c>
      <c r="W794" s="8" t="s">
        <v>2143</v>
      </c>
      <c r="X794" s="6"/>
      <c r="Y794" s="6"/>
      <c r="Z794" s="6" t="s">
        <v>48</v>
      </c>
      <c r="AA794" s="6" t="s">
        <v>111</v>
      </c>
      <c r="AB794" s="8"/>
    </row>
    <row r="795" spans="1:28" s="4" customFormat="1" ht="51.95" customHeight="1">
      <c r="A795" s="5">
        <v>0</v>
      </c>
      <c r="B795" s="6" t="s">
        <v>5234</v>
      </c>
      <c r="C795" s="7">
        <v>2834</v>
      </c>
      <c r="D795" s="8" t="s">
        <v>5235</v>
      </c>
      <c r="E795" s="8" t="s">
        <v>5236</v>
      </c>
      <c r="F795" s="8" t="s">
        <v>5237</v>
      </c>
      <c r="G795" s="6" t="s">
        <v>38</v>
      </c>
      <c r="H795" s="6" t="s">
        <v>54</v>
      </c>
      <c r="I795" s="8" t="s">
        <v>40</v>
      </c>
      <c r="J795" s="9">
        <v>1</v>
      </c>
      <c r="K795" s="9">
        <v>567</v>
      </c>
      <c r="L795" s="9">
        <v>2025</v>
      </c>
      <c r="M795" s="8" t="s">
        <v>5238</v>
      </c>
      <c r="N795" s="8" t="s">
        <v>125</v>
      </c>
      <c r="O795" s="8" t="s">
        <v>126</v>
      </c>
      <c r="P795" s="6" t="s">
        <v>44</v>
      </c>
      <c r="Q795" s="8" t="s">
        <v>45</v>
      </c>
      <c r="R795" s="10" t="s">
        <v>1005</v>
      </c>
      <c r="S795" s="11" t="s">
        <v>5239</v>
      </c>
      <c r="T795" s="6"/>
      <c r="U795" s="24" t="str">
        <f>HYPERLINK("https://media.infra-m.ru/2169/2169214/cover/2169214.jpg", "Обложка")</f>
        <v>Обложка</v>
      </c>
      <c r="V795" s="24" t="str">
        <f>HYPERLINK("https://znanium.ru/catalog/product/2169214", "Ознакомиться")</f>
        <v>Ознакомиться</v>
      </c>
      <c r="W795" s="8" t="s">
        <v>180</v>
      </c>
      <c r="X795" s="6"/>
      <c r="Y795" s="6"/>
      <c r="Z795" s="6"/>
      <c r="AA795" s="6" t="s">
        <v>223</v>
      </c>
      <c r="AB795" s="8"/>
    </row>
    <row r="796" spans="1:28" s="4" customFormat="1" ht="42" customHeight="1">
      <c r="A796" s="5">
        <v>0</v>
      </c>
      <c r="B796" s="6" t="s">
        <v>5240</v>
      </c>
      <c r="C796" s="7">
        <v>1620</v>
      </c>
      <c r="D796" s="8" t="s">
        <v>5241</v>
      </c>
      <c r="E796" s="8" t="s">
        <v>5242</v>
      </c>
      <c r="F796" s="8" t="s">
        <v>5243</v>
      </c>
      <c r="G796" s="6" t="s">
        <v>90</v>
      </c>
      <c r="H796" s="6" t="s">
        <v>54</v>
      </c>
      <c r="I796" s="8" t="s">
        <v>40</v>
      </c>
      <c r="J796" s="9">
        <v>1</v>
      </c>
      <c r="K796" s="9">
        <v>306</v>
      </c>
      <c r="L796" s="9">
        <v>2026</v>
      </c>
      <c r="M796" s="8" t="s">
        <v>5244</v>
      </c>
      <c r="N796" s="8" t="s">
        <v>125</v>
      </c>
      <c r="O796" s="8" t="s">
        <v>126</v>
      </c>
      <c r="P796" s="6" t="s">
        <v>58</v>
      </c>
      <c r="Q796" s="8" t="s">
        <v>45</v>
      </c>
      <c r="R796" s="10" t="s">
        <v>848</v>
      </c>
      <c r="S796" s="11"/>
      <c r="T796" s="6"/>
      <c r="U796" s="24" t="str">
        <f>HYPERLINK("https://media.infra-m.ru/2221/2221469/cover/2221469.jpg", "Обложка")</f>
        <v>Обложка</v>
      </c>
      <c r="V796" s="24" t="str">
        <f>HYPERLINK("https://znanium.ru/catalog/product/2221469", "Ознакомиться")</f>
        <v>Ознакомиться</v>
      </c>
      <c r="W796" s="8" t="s">
        <v>5245</v>
      </c>
      <c r="X796" s="6"/>
      <c r="Y796" s="6"/>
      <c r="Z796" s="6"/>
      <c r="AA796" s="6" t="s">
        <v>354</v>
      </c>
      <c r="AB796" s="8"/>
    </row>
    <row r="797" spans="1:28" s="4" customFormat="1" ht="42" customHeight="1">
      <c r="A797" s="5">
        <v>0</v>
      </c>
      <c r="B797" s="6" t="s">
        <v>5246</v>
      </c>
      <c r="C797" s="7">
        <v>1320</v>
      </c>
      <c r="D797" s="8" t="s">
        <v>5247</v>
      </c>
      <c r="E797" s="8" t="s">
        <v>5248</v>
      </c>
      <c r="F797" s="8" t="s">
        <v>5249</v>
      </c>
      <c r="G797" s="6" t="s">
        <v>90</v>
      </c>
      <c r="H797" s="6" t="s">
        <v>54</v>
      </c>
      <c r="I797" s="8" t="s">
        <v>40</v>
      </c>
      <c r="J797" s="9">
        <v>1</v>
      </c>
      <c r="K797" s="9">
        <v>264</v>
      </c>
      <c r="L797" s="9">
        <v>2025</v>
      </c>
      <c r="M797" s="8" t="s">
        <v>5250</v>
      </c>
      <c r="N797" s="8" t="s">
        <v>42</v>
      </c>
      <c r="O797" s="8" t="s">
        <v>243</v>
      </c>
      <c r="P797" s="6" t="s">
        <v>44</v>
      </c>
      <c r="Q797" s="8" t="s">
        <v>45</v>
      </c>
      <c r="R797" s="10" t="s">
        <v>5251</v>
      </c>
      <c r="S797" s="11"/>
      <c r="T797" s="6"/>
      <c r="U797" s="24" t="str">
        <f>HYPERLINK("https://media.infra-m.ru/2163/2163030/cover/2163030.jpg", "Обложка")</f>
        <v>Обложка</v>
      </c>
      <c r="V797" s="24" t="str">
        <f>HYPERLINK("https://znanium.ru/catalog/product/2163030", "Ознакомиться")</f>
        <v>Ознакомиться</v>
      </c>
      <c r="W797" s="8" t="s">
        <v>3980</v>
      </c>
      <c r="X797" s="6"/>
      <c r="Y797" s="6"/>
      <c r="Z797" s="6" t="s">
        <v>48</v>
      </c>
      <c r="AA797" s="6" t="s">
        <v>84</v>
      </c>
      <c r="AB797" s="8"/>
    </row>
    <row r="798" spans="1:28" s="4" customFormat="1" ht="51.95" customHeight="1">
      <c r="A798" s="5">
        <v>0</v>
      </c>
      <c r="B798" s="6" t="s">
        <v>5252</v>
      </c>
      <c r="C798" s="7">
        <v>1470</v>
      </c>
      <c r="D798" s="8" t="s">
        <v>5253</v>
      </c>
      <c r="E798" s="8" t="s">
        <v>5254</v>
      </c>
      <c r="F798" s="8" t="s">
        <v>5255</v>
      </c>
      <c r="G798" s="6" t="s">
        <v>90</v>
      </c>
      <c r="H798" s="6" t="s">
        <v>54</v>
      </c>
      <c r="I798" s="8" t="s">
        <v>40</v>
      </c>
      <c r="J798" s="9">
        <v>1</v>
      </c>
      <c r="K798" s="9">
        <v>213</v>
      </c>
      <c r="L798" s="9">
        <v>2025</v>
      </c>
      <c r="M798" s="8" t="s">
        <v>5256</v>
      </c>
      <c r="N798" s="8" t="s">
        <v>125</v>
      </c>
      <c r="O798" s="8" t="s">
        <v>352</v>
      </c>
      <c r="P798" s="6" t="s">
        <v>58</v>
      </c>
      <c r="Q798" s="8" t="s">
        <v>45</v>
      </c>
      <c r="R798" s="10" t="s">
        <v>108</v>
      </c>
      <c r="S798" s="11" t="s">
        <v>4223</v>
      </c>
      <c r="T798" s="6"/>
      <c r="U798" s="24" t="str">
        <f>HYPERLINK("https://media.infra-m.ru/2200/2200968/cover/2200968.jpg", "Обложка")</f>
        <v>Обложка</v>
      </c>
      <c r="V798" s="24" t="str">
        <f>HYPERLINK("https://znanium.ru/catalog/product/2200968", "Ознакомиться")</f>
        <v>Ознакомиться</v>
      </c>
      <c r="W798" s="8" t="s">
        <v>5257</v>
      </c>
      <c r="X798" s="6"/>
      <c r="Y798" s="6"/>
      <c r="Z798" s="6"/>
      <c r="AA798" s="6" t="s">
        <v>102</v>
      </c>
      <c r="AB798" s="8" t="s">
        <v>3074</v>
      </c>
    </row>
    <row r="799" spans="1:28" s="4" customFormat="1" ht="51.95" customHeight="1">
      <c r="A799" s="5">
        <v>0</v>
      </c>
      <c r="B799" s="6" t="s">
        <v>5258</v>
      </c>
      <c r="C799" s="13">
        <v>934</v>
      </c>
      <c r="D799" s="8" t="s">
        <v>5259</v>
      </c>
      <c r="E799" s="8" t="s">
        <v>5260</v>
      </c>
      <c r="F799" s="8" t="s">
        <v>5261</v>
      </c>
      <c r="G799" s="6" t="s">
        <v>90</v>
      </c>
      <c r="H799" s="6" t="s">
        <v>54</v>
      </c>
      <c r="I799" s="8" t="s">
        <v>40</v>
      </c>
      <c r="J799" s="9">
        <v>1</v>
      </c>
      <c r="K799" s="9">
        <v>179</v>
      </c>
      <c r="L799" s="9">
        <v>2025</v>
      </c>
      <c r="M799" s="8" t="s">
        <v>5262</v>
      </c>
      <c r="N799" s="8" t="s">
        <v>1306</v>
      </c>
      <c r="O799" s="8" t="s">
        <v>1307</v>
      </c>
      <c r="P799" s="6" t="s">
        <v>44</v>
      </c>
      <c r="Q799" s="8" t="s">
        <v>45</v>
      </c>
      <c r="R799" s="10" t="s">
        <v>5263</v>
      </c>
      <c r="S799" s="11" t="s">
        <v>5264</v>
      </c>
      <c r="T799" s="6" t="s">
        <v>118</v>
      </c>
      <c r="U799" s="24" t="str">
        <f>HYPERLINK("https://media.infra-m.ru/2197/2197795/cover/2197795.jpg", "Обложка")</f>
        <v>Обложка</v>
      </c>
      <c r="V799" s="24" t="str">
        <f>HYPERLINK("https://znanium.ru/catalog/product/1039173", "Ознакомиться")</f>
        <v>Ознакомиться</v>
      </c>
      <c r="W799" s="8" t="s">
        <v>5265</v>
      </c>
      <c r="X799" s="6"/>
      <c r="Y799" s="6"/>
      <c r="Z799" s="6"/>
      <c r="AA799" s="6" t="s">
        <v>111</v>
      </c>
      <c r="AB799" s="8"/>
    </row>
    <row r="800" spans="1:28" s="4" customFormat="1" ht="51.95" customHeight="1">
      <c r="A800" s="5">
        <v>0</v>
      </c>
      <c r="B800" s="6" t="s">
        <v>5266</v>
      </c>
      <c r="C800" s="7">
        <v>2534</v>
      </c>
      <c r="D800" s="8" t="s">
        <v>5267</v>
      </c>
      <c r="E800" s="8" t="s">
        <v>5268</v>
      </c>
      <c r="F800" s="8" t="s">
        <v>5269</v>
      </c>
      <c r="G800" s="6" t="s">
        <v>90</v>
      </c>
      <c r="H800" s="6" t="s">
        <v>299</v>
      </c>
      <c r="I800" s="8" t="s">
        <v>40</v>
      </c>
      <c r="J800" s="9">
        <v>1</v>
      </c>
      <c r="K800" s="9">
        <v>480</v>
      </c>
      <c r="L800" s="9">
        <v>2026</v>
      </c>
      <c r="M800" s="8" t="s">
        <v>5270</v>
      </c>
      <c r="N800" s="8" t="s">
        <v>56</v>
      </c>
      <c r="O800" s="8" t="s">
        <v>3101</v>
      </c>
      <c r="P800" s="6" t="s">
        <v>58</v>
      </c>
      <c r="Q800" s="8" t="s">
        <v>45</v>
      </c>
      <c r="R800" s="10" t="s">
        <v>5271</v>
      </c>
      <c r="S800" s="11" t="s">
        <v>3286</v>
      </c>
      <c r="T800" s="6"/>
      <c r="U800" s="24" t="str">
        <f>HYPERLINK("https://media.infra-m.ru/2220/2220287/cover/2220287.jpg", "Обложка")</f>
        <v>Обложка</v>
      </c>
      <c r="V800" s="24" t="str">
        <f>HYPERLINK("https://znanium.ru/catalog/product/2212375", "Ознакомиться")</f>
        <v>Ознакомиться</v>
      </c>
      <c r="W800" s="8" t="s">
        <v>5272</v>
      </c>
      <c r="X800" s="6"/>
      <c r="Y800" s="6" t="s">
        <v>30</v>
      </c>
      <c r="Z800" s="6"/>
      <c r="AA800" s="6" t="s">
        <v>237</v>
      </c>
      <c r="AB800" s="8"/>
    </row>
    <row r="801" spans="1:28" s="4" customFormat="1" ht="51.95" customHeight="1">
      <c r="A801" s="5">
        <v>0</v>
      </c>
      <c r="B801" s="6" t="s">
        <v>5273</v>
      </c>
      <c r="C801" s="7">
        <v>1660</v>
      </c>
      <c r="D801" s="8" t="s">
        <v>5274</v>
      </c>
      <c r="E801" s="8" t="s">
        <v>5268</v>
      </c>
      <c r="F801" s="8" t="s">
        <v>5275</v>
      </c>
      <c r="G801" s="6" t="s">
        <v>90</v>
      </c>
      <c r="H801" s="6" t="s">
        <v>54</v>
      </c>
      <c r="I801" s="8" t="s">
        <v>40</v>
      </c>
      <c r="J801" s="9">
        <v>1</v>
      </c>
      <c r="K801" s="9">
        <v>307</v>
      </c>
      <c r="L801" s="9">
        <v>2025</v>
      </c>
      <c r="M801" s="8" t="s">
        <v>5276</v>
      </c>
      <c r="N801" s="8" t="s">
        <v>56</v>
      </c>
      <c r="O801" s="8" t="s">
        <v>3101</v>
      </c>
      <c r="P801" s="6" t="s">
        <v>58</v>
      </c>
      <c r="Q801" s="8" t="s">
        <v>45</v>
      </c>
      <c r="R801" s="10" t="s">
        <v>5277</v>
      </c>
      <c r="S801" s="11" t="s">
        <v>5278</v>
      </c>
      <c r="T801" s="6"/>
      <c r="U801" s="24" t="str">
        <f>HYPERLINK("https://media.infra-m.ru/2161/2161372/cover/2161372.jpg", "Обложка")</f>
        <v>Обложка</v>
      </c>
      <c r="V801" s="24" t="str">
        <f>HYPERLINK("https://znanium.ru/catalog/product/2161372", "Ознакомиться")</f>
        <v>Ознакомиться</v>
      </c>
      <c r="W801" s="8" t="s">
        <v>4304</v>
      </c>
      <c r="X801" s="6"/>
      <c r="Y801" s="6" t="s">
        <v>30</v>
      </c>
      <c r="Z801" s="6"/>
      <c r="AA801" s="6" t="s">
        <v>223</v>
      </c>
      <c r="AB801" s="8"/>
    </row>
    <row r="802" spans="1:28" s="4" customFormat="1" ht="51.95" customHeight="1">
      <c r="A802" s="5">
        <v>0</v>
      </c>
      <c r="B802" s="6" t="s">
        <v>5279</v>
      </c>
      <c r="C802" s="7">
        <v>1334</v>
      </c>
      <c r="D802" s="8" t="s">
        <v>5280</v>
      </c>
      <c r="E802" s="8" t="s">
        <v>5268</v>
      </c>
      <c r="F802" s="8" t="s">
        <v>5281</v>
      </c>
      <c r="G802" s="6" t="s">
        <v>90</v>
      </c>
      <c r="H802" s="6" t="s">
        <v>39</v>
      </c>
      <c r="I802" s="8" t="s">
        <v>40</v>
      </c>
      <c r="J802" s="9">
        <v>1</v>
      </c>
      <c r="K802" s="9">
        <v>266</v>
      </c>
      <c r="L802" s="9">
        <v>2024</v>
      </c>
      <c r="M802" s="8" t="s">
        <v>5282</v>
      </c>
      <c r="N802" s="8" t="s">
        <v>56</v>
      </c>
      <c r="O802" s="8" t="s">
        <v>3101</v>
      </c>
      <c r="P802" s="6" t="s">
        <v>1285</v>
      </c>
      <c r="Q802" s="8" t="s">
        <v>45</v>
      </c>
      <c r="R802" s="10" t="s">
        <v>5283</v>
      </c>
      <c r="S802" s="11" t="s">
        <v>5284</v>
      </c>
      <c r="T802" s="6"/>
      <c r="U802" s="24" t="str">
        <f>HYPERLINK("https://media.infra-m.ru/2157/2157879/cover/2157879.jpg", "Обложка")</f>
        <v>Обложка</v>
      </c>
      <c r="V802" s="24" t="str">
        <f>HYPERLINK("https://znanium.ru/catalog/product/1850115", "Ознакомиться")</f>
        <v>Ознакомиться</v>
      </c>
      <c r="W802" s="8" t="s">
        <v>4466</v>
      </c>
      <c r="X802" s="6"/>
      <c r="Y802" s="6"/>
      <c r="Z802" s="6"/>
      <c r="AA802" s="6" t="s">
        <v>766</v>
      </c>
      <c r="AB802" s="8"/>
    </row>
    <row r="803" spans="1:28" s="4" customFormat="1" ht="42" customHeight="1">
      <c r="A803" s="5">
        <v>0</v>
      </c>
      <c r="B803" s="6" t="s">
        <v>5285</v>
      </c>
      <c r="C803" s="7">
        <v>1000</v>
      </c>
      <c r="D803" s="8" t="s">
        <v>5286</v>
      </c>
      <c r="E803" s="8" t="s">
        <v>5268</v>
      </c>
      <c r="F803" s="8" t="s">
        <v>1734</v>
      </c>
      <c r="G803" s="6" t="s">
        <v>38</v>
      </c>
      <c r="H803" s="6" t="s">
        <v>54</v>
      </c>
      <c r="I803" s="8" t="s">
        <v>40</v>
      </c>
      <c r="J803" s="9">
        <v>1</v>
      </c>
      <c r="K803" s="9">
        <v>197</v>
      </c>
      <c r="L803" s="9">
        <v>2025</v>
      </c>
      <c r="M803" s="8" t="s">
        <v>5287</v>
      </c>
      <c r="N803" s="8" t="s">
        <v>56</v>
      </c>
      <c r="O803" s="8" t="s">
        <v>3101</v>
      </c>
      <c r="P803" s="6" t="s">
        <v>44</v>
      </c>
      <c r="Q803" s="8" t="s">
        <v>45</v>
      </c>
      <c r="R803" s="10" t="s">
        <v>5283</v>
      </c>
      <c r="S803" s="11"/>
      <c r="T803" s="6"/>
      <c r="U803" s="24" t="str">
        <f>HYPERLINK("https://media.infra-m.ru/1907/1907643/cover/1907643.jpg", "Обложка")</f>
        <v>Обложка</v>
      </c>
      <c r="V803" s="24" t="str">
        <f>HYPERLINK("https://znanium.ru/catalog/product/1907643", "Ознакомиться")</f>
        <v>Ознакомиться</v>
      </c>
      <c r="W803" s="8" t="s">
        <v>1737</v>
      </c>
      <c r="X803" s="6"/>
      <c r="Y803" s="6"/>
      <c r="Z803" s="6"/>
      <c r="AA803" s="6" t="s">
        <v>84</v>
      </c>
      <c r="AB803" s="8"/>
    </row>
    <row r="804" spans="1:28" s="4" customFormat="1" ht="51.95" customHeight="1">
      <c r="A804" s="5">
        <v>0</v>
      </c>
      <c r="B804" s="6" t="s">
        <v>5288</v>
      </c>
      <c r="C804" s="13">
        <v>770</v>
      </c>
      <c r="D804" s="8" t="s">
        <v>5289</v>
      </c>
      <c r="E804" s="8" t="s">
        <v>5268</v>
      </c>
      <c r="F804" s="8" t="s">
        <v>5290</v>
      </c>
      <c r="G804" s="6" t="s">
        <v>90</v>
      </c>
      <c r="H804" s="6" t="s">
        <v>54</v>
      </c>
      <c r="I804" s="8" t="s">
        <v>40</v>
      </c>
      <c r="J804" s="9">
        <v>1</v>
      </c>
      <c r="K804" s="9">
        <v>147</v>
      </c>
      <c r="L804" s="9">
        <v>2025</v>
      </c>
      <c r="M804" s="8" t="s">
        <v>5291</v>
      </c>
      <c r="N804" s="8" t="s">
        <v>56</v>
      </c>
      <c r="O804" s="8" t="s">
        <v>3101</v>
      </c>
      <c r="P804" s="6" t="s">
        <v>44</v>
      </c>
      <c r="Q804" s="8" t="s">
        <v>45</v>
      </c>
      <c r="R804" s="10" t="s">
        <v>5283</v>
      </c>
      <c r="S804" s="11" t="s">
        <v>1073</v>
      </c>
      <c r="T804" s="6"/>
      <c r="U804" s="24" t="str">
        <f>HYPERLINK("https://media.infra-m.ru/2186/2186859/cover/2186859.jpg", "Обложка")</f>
        <v>Обложка</v>
      </c>
      <c r="V804" s="24" t="str">
        <f>HYPERLINK("https://znanium.ru/catalog/product/1926340", "Ознакомиться")</f>
        <v>Ознакомиться</v>
      </c>
      <c r="W804" s="8" t="s">
        <v>538</v>
      </c>
      <c r="X804" s="6"/>
      <c r="Y804" s="6"/>
      <c r="Z804" s="6" t="s">
        <v>48</v>
      </c>
      <c r="AA804" s="6" t="s">
        <v>111</v>
      </c>
      <c r="AB804" s="8"/>
    </row>
    <row r="805" spans="1:28" s="4" customFormat="1" ht="51.95" customHeight="1">
      <c r="A805" s="5">
        <v>0</v>
      </c>
      <c r="B805" s="6" t="s">
        <v>5292</v>
      </c>
      <c r="C805" s="7">
        <v>1330</v>
      </c>
      <c r="D805" s="8" t="s">
        <v>5293</v>
      </c>
      <c r="E805" s="8" t="s">
        <v>5294</v>
      </c>
      <c r="F805" s="8" t="s">
        <v>5295</v>
      </c>
      <c r="G805" s="6" t="s">
        <v>90</v>
      </c>
      <c r="H805" s="6" t="s">
        <v>39</v>
      </c>
      <c r="I805" s="8" t="s">
        <v>40</v>
      </c>
      <c r="J805" s="9">
        <v>1</v>
      </c>
      <c r="K805" s="9">
        <v>288</v>
      </c>
      <c r="L805" s="9">
        <v>2024</v>
      </c>
      <c r="M805" s="8" t="s">
        <v>5296</v>
      </c>
      <c r="N805" s="8" t="s">
        <v>56</v>
      </c>
      <c r="O805" s="8" t="s">
        <v>3101</v>
      </c>
      <c r="P805" s="6" t="s">
        <v>44</v>
      </c>
      <c r="Q805" s="8" t="s">
        <v>45</v>
      </c>
      <c r="R805" s="10" t="s">
        <v>5297</v>
      </c>
      <c r="S805" s="11" t="s">
        <v>5049</v>
      </c>
      <c r="T805" s="6"/>
      <c r="U805" s="24" t="str">
        <f>HYPERLINK("https://media.infra-m.ru/2084/2084133/cover/2084133.jpg", "Обложка")</f>
        <v>Обложка</v>
      </c>
      <c r="V805" s="24" t="str">
        <f>HYPERLINK("https://znanium.ru/catalog/product/2084133", "Ознакомиться")</f>
        <v>Ознакомиться</v>
      </c>
      <c r="W805" s="8" t="s">
        <v>94</v>
      </c>
      <c r="X805" s="6"/>
      <c r="Y805" s="6" t="s">
        <v>30</v>
      </c>
      <c r="Z805" s="6"/>
      <c r="AA805" s="6" t="s">
        <v>95</v>
      </c>
      <c r="AB805" s="8"/>
    </row>
    <row r="806" spans="1:28" s="4" customFormat="1" ht="42" customHeight="1">
      <c r="A806" s="5">
        <v>0</v>
      </c>
      <c r="B806" s="6" t="s">
        <v>5298</v>
      </c>
      <c r="C806" s="7">
        <v>1260</v>
      </c>
      <c r="D806" s="8" t="s">
        <v>5299</v>
      </c>
      <c r="E806" s="8" t="s">
        <v>5300</v>
      </c>
      <c r="F806" s="8" t="s">
        <v>906</v>
      </c>
      <c r="G806" s="6" t="s">
        <v>38</v>
      </c>
      <c r="H806" s="6" t="s">
        <v>54</v>
      </c>
      <c r="I806" s="8" t="s">
        <v>40</v>
      </c>
      <c r="J806" s="9">
        <v>1</v>
      </c>
      <c r="K806" s="9">
        <v>245</v>
      </c>
      <c r="L806" s="9">
        <v>2025</v>
      </c>
      <c r="M806" s="8" t="s">
        <v>5301</v>
      </c>
      <c r="N806" s="8" t="s">
        <v>125</v>
      </c>
      <c r="O806" s="8" t="s">
        <v>432</v>
      </c>
      <c r="P806" s="6" t="s">
        <v>58</v>
      </c>
      <c r="Q806" s="8" t="s">
        <v>45</v>
      </c>
      <c r="R806" s="10" t="s">
        <v>5302</v>
      </c>
      <c r="S806" s="11"/>
      <c r="T806" s="6"/>
      <c r="U806" s="24" t="str">
        <f>HYPERLINK("https://media.infra-m.ru/2175/2175040/cover/2175040.jpg", "Обложка")</f>
        <v>Обложка</v>
      </c>
      <c r="V806" s="24" t="str">
        <f>HYPERLINK("https://znanium.ru/catalog/product/2175040", "Ознакомиться")</f>
        <v>Ознакомиться</v>
      </c>
      <c r="W806" s="8" t="s">
        <v>909</v>
      </c>
      <c r="X806" s="6" t="s">
        <v>367</v>
      </c>
      <c r="Y806" s="6"/>
      <c r="Z806" s="6" t="s">
        <v>48</v>
      </c>
      <c r="AA806" s="6" t="s">
        <v>84</v>
      </c>
      <c r="AB806" s="8"/>
    </row>
    <row r="807" spans="1:28" s="4" customFormat="1" ht="42" customHeight="1">
      <c r="A807" s="5">
        <v>0</v>
      </c>
      <c r="B807" s="6" t="s">
        <v>5303</v>
      </c>
      <c r="C807" s="7">
        <v>1160</v>
      </c>
      <c r="D807" s="8" t="s">
        <v>5304</v>
      </c>
      <c r="E807" s="8" t="s">
        <v>5300</v>
      </c>
      <c r="F807" s="8" t="s">
        <v>5305</v>
      </c>
      <c r="G807" s="6" t="s">
        <v>90</v>
      </c>
      <c r="H807" s="6" t="s">
        <v>54</v>
      </c>
      <c r="I807" s="8" t="s">
        <v>40</v>
      </c>
      <c r="J807" s="9">
        <v>1</v>
      </c>
      <c r="K807" s="9">
        <v>211</v>
      </c>
      <c r="L807" s="9">
        <v>2026</v>
      </c>
      <c r="M807" s="8" t="s">
        <v>5306</v>
      </c>
      <c r="N807" s="8" t="s">
        <v>125</v>
      </c>
      <c r="O807" s="8" t="s">
        <v>432</v>
      </c>
      <c r="P807" s="6" t="s">
        <v>44</v>
      </c>
      <c r="Q807" s="8" t="s">
        <v>45</v>
      </c>
      <c r="R807" s="10" t="s">
        <v>5302</v>
      </c>
      <c r="S807" s="11"/>
      <c r="T807" s="6"/>
      <c r="U807" s="24" t="str">
        <f>HYPERLINK("https://media.infra-m.ru/2225/2225205/cover/2225205.jpg", "Обложка")</f>
        <v>Обложка</v>
      </c>
      <c r="V807" s="24" t="str">
        <f>HYPERLINK("https://znanium.ru/catalog/product/2225205", "Ознакомиться")</f>
        <v>Ознакомиться</v>
      </c>
      <c r="W807" s="8" t="s">
        <v>73</v>
      </c>
      <c r="X807" s="6"/>
      <c r="Y807" s="6"/>
      <c r="Z807" s="6" t="s">
        <v>48</v>
      </c>
      <c r="AA807" s="6" t="s">
        <v>84</v>
      </c>
      <c r="AB807" s="8"/>
    </row>
    <row r="808" spans="1:28" s="4" customFormat="1" ht="51.95" customHeight="1">
      <c r="A808" s="5">
        <v>0</v>
      </c>
      <c r="B808" s="6" t="s">
        <v>5307</v>
      </c>
      <c r="C808" s="7">
        <v>1294</v>
      </c>
      <c r="D808" s="8" t="s">
        <v>5308</v>
      </c>
      <c r="E808" s="8" t="s">
        <v>5300</v>
      </c>
      <c r="F808" s="8" t="s">
        <v>5309</v>
      </c>
      <c r="G808" s="6" t="s">
        <v>90</v>
      </c>
      <c r="H808" s="6" t="s">
        <v>54</v>
      </c>
      <c r="I808" s="8" t="s">
        <v>40</v>
      </c>
      <c r="J808" s="9">
        <v>1</v>
      </c>
      <c r="K808" s="9">
        <v>248</v>
      </c>
      <c r="L808" s="9">
        <v>2025</v>
      </c>
      <c r="M808" s="8" t="s">
        <v>5310</v>
      </c>
      <c r="N808" s="8" t="s">
        <v>125</v>
      </c>
      <c r="O808" s="8" t="s">
        <v>432</v>
      </c>
      <c r="P808" s="6" t="s">
        <v>44</v>
      </c>
      <c r="Q808" s="8" t="s">
        <v>45</v>
      </c>
      <c r="R808" s="10" t="s">
        <v>5311</v>
      </c>
      <c r="S808" s="11" t="s">
        <v>5312</v>
      </c>
      <c r="T808" s="6"/>
      <c r="U808" s="24" t="str">
        <f>HYPERLINK("https://media.infra-m.ru/2199/2199286/cover/2199286.jpg", "Обложка")</f>
        <v>Обложка</v>
      </c>
      <c r="V808" s="24" t="str">
        <f>HYPERLINK("https://znanium.ru/catalog/product/2163353", "Ознакомиться")</f>
        <v>Ознакомиться</v>
      </c>
      <c r="W808" s="8" t="s">
        <v>1007</v>
      </c>
      <c r="X808" s="6"/>
      <c r="Y808" s="6" t="s">
        <v>30</v>
      </c>
      <c r="Z808" s="6"/>
      <c r="AA808" s="6" t="s">
        <v>500</v>
      </c>
      <c r="AB808" s="8"/>
    </row>
    <row r="809" spans="1:28" s="4" customFormat="1" ht="51.95" customHeight="1">
      <c r="A809" s="5">
        <v>0</v>
      </c>
      <c r="B809" s="6" t="s">
        <v>5313</v>
      </c>
      <c r="C809" s="7">
        <v>1474</v>
      </c>
      <c r="D809" s="8" t="s">
        <v>5314</v>
      </c>
      <c r="E809" s="8" t="s">
        <v>5315</v>
      </c>
      <c r="F809" s="8" t="s">
        <v>1954</v>
      </c>
      <c r="G809" s="6" t="s">
        <v>90</v>
      </c>
      <c r="H809" s="6" t="s">
        <v>54</v>
      </c>
      <c r="I809" s="8" t="s">
        <v>40</v>
      </c>
      <c r="J809" s="9">
        <v>1</v>
      </c>
      <c r="K809" s="9">
        <v>269</v>
      </c>
      <c r="L809" s="9">
        <v>2026</v>
      </c>
      <c r="M809" s="8" t="s">
        <v>5316</v>
      </c>
      <c r="N809" s="8" t="s">
        <v>56</v>
      </c>
      <c r="O809" s="8" t="s">
        <v>807</v>
      </c>
      <c r="P809" s="6" t="s">
        <v>44</v>
      </c>
      <c r="Q809" s="8" t="s">
        <v>45</v>
      </c>
      <c r="R809" s="10" t="s">
        <v>5317</v>
      </c>
      <c r="S809" s="11" t="s">
        <v>5318</v>
      </c>
      <c r="T809" s="6"/>
      <c r="U809" s="24" t="str">
        <f>HYPERLINK("https://media.infra-m.ru/2226/2226486/cover/2226486.jpg", "Обложка")</f>
        <v>Обложка</v>
      </c>
      <c r="V809" s="24" t="str">
        <f>HYPERLINK("https://znanium.ru/catalog/product/2178932", "Ознакомиться")</f>
        <v>Ознакомиться</v>
      </c>
      <c r="W809" s="8" t="s">
        <v>1958</v>
      </c>
      <c r="X809" s="6"/>
      <c r="Y809" s="6"/>
      <c r="Z809" s="6"/>
      <c r="AA809" s="6" t="s">
        <v>102</v>
      </c>
      <c r="AB809" s="8"/>
    </row>
    <row r="810" spans="1:28" s="4" customFormat="1" ht="51.95" customHeight="1">
      <c r="A810" s="5">
        <v>0</v>
      </c>
      <c r="B810" s="6" t="s">
        <v>5319</v>
      </c>
      <c r="C810" s="7">
        <v>1510</v>
      </c>
      <c r="D810" s="8" t="s">
        <v>5320</v>
      </c>
      <c r="E810" s="8" t="s">
        <v>5321</v>
      </c>
      <c r="F810" s="8" t="s">
        <v>5237</v>
      </c>
      <c r="G810" s="6" t="s">
        <v>38</v>
      </c>
      <c r="H810" s="6" t="s">
        <v>54</v>
      </c>
      <c r="I810" s="8" t="s">
        <v>40</v>
      </c>
      <c r="J810" s="9">
        <v>1</v>
      </c>
      <c r="K810" s="9">
        <v>328</v>
      </c>
      <c r="L810" s="9">
        <v>2023</v>
      </c>
      <c r="M810" s="8" t="s">
        <v>5322</v>
      </c>
      <c r="N810" s="8" t="s">
        <v>125</v>
      </c>
      <c r="O810" s="8" t="s">
        <v>126</v>
      </c>
      <c r="P810" s="6" t="s">
        <v>44</v>
      </c>
      <c r="Q810" s="8" t="s">
        <v>45</v>
      </c>
      <c r="R810" s="10" t="s">
        <v>660</v>
      </c>
      <c r="S810" s="11" t="s">
        <v>5323</v>
      </c>
      <c r="T810" s="6"/>
      <c r="U810" s="24" t="str">
        <f>HYPERLINK("https://media.infra-m.ru/1072/1072197/cover/1072197.jpg", "Обложка")</f>
        <v>Обложка</v>
      </c>
      <c r="V810" s="24" t="str">
        <f>HYPERLINK("https://znanium.ru/catalog/product/1072197", "Ознакомиться")</f>
        <v>Ознакомиться</v>
      </c>
      <c r="W810" s="8" t="s">
        <v>180</v>
      </c>
      <c r="X810" s="6"/>
      <c r="Y810" s="6"/>
      <c r="Z810" s="6"/>
      <c r="AA810" s="6" t="s">
        <v>102</v>
      </c>
      <c r="AB810" s="8"/>
    </row>
    <row r="811" spans="1:28" s="4" customFormat="1" ht="51.95" customHeight="1">
      <c r="A811" s="5">
        <v>0</v>
      </c>
      <c r="B811" s="6" t="s">
        <v>5324</v>
      </c>
      <c r="C811" s="7">
        <v>1150</v>
      </c>
      <c r="D811" s="8" t="s">
        <v>5325</v>
      </c>
      <c r="E811" s="8" t="s">
        <v>5326</v>
      </c>
      <c r="F811" s="8" t="s">
        <v>430</v>
      </c>
      <c r="G811" s="6" t="s">
        <v>90</v>
      </c>
      <c r="H811" s="6" t="s">
        <v>68</v>
      </c>
      <c r="I811" s="8" t="s">
        <v>1110</v>
      </c>
      <c r="J811" s="9">
        <v>1</v>
      </c>
      <c r="K811" s="9">
        <v>229</v>
      </c>
      <c r="L811" s="9">
        <v>2025</v>
      </c>
      <c r="M811" s="8" t="s">
        <v>5327</v>
      </c>
      <c r="N811" s="8" t="s">
        <v>125</v>
      </c>
      <c r="O811" s="8" t="s">
        <v>432</v>
      </c>
      <c r="P811" s="6" t="s">
        <v>58</v>
      </c>
      <c r="Q811" s="8" t="s">
        <v>45</v>
      </c>
      <c r="R811" s="10" t="s">
        <v>5328</v>
      </c>
      <c r="S811" s="11"/>
      <c r="T811" s="6"/>
      <c r="U811" s="24" t="str">
        <f>HYPERLINK("https://media.infra-m.ru/2191/2191361/cover/2191361.jpg", "Обложка")</f>
        <v>Обложка</v>
      </c>
      <c r="V811" s="24" t="str">
        <f>HYPERLINK("https://znanium.ru/catalog/product/2191361", "Ознакомиться")</f>
        <v>Ознакомиться</v>
      </c>
      <c r="W811" s="8" t="s">
        <v>434</v>
      </c>
      <c r="X811" s="6"/>
      <c r="Y811" s="6"/>
      <c r="Z811" s="6"/>
      <c r="AA811" s="6" t="s">
        <v>573</v>
      </c>
      <c r="AB811" s="8"/>
    </row>
    <row r="812" spans="1:28" s="4" customFormat="1" ht="51.95" customHeight="1">
      <c r="A812" s="5">
        <v>0</v>
      </c>
      <c r="B812" s="6" t="s">
        <v>5329</v>
      </c>
      <c r="C812" s="7">
        <v>1494</v>
      </c>
      <c r="D812" s="8" t="s">
        <v>5330</v>
      </c>
      <c r="E812" s="8" t="s">
        <v>5331</v>
      </c>
      <c r="F812" s="8" t="s">
        <v>5332</v>
      </c>
      <c r="G812" s="6" t="s">
        <v>90</v>
      </c>
      <c r="H812" s="6" t="s">
        <v>299</v>
      </c>
      <c r="I812" s="8" t="s">
        <v>40</v>
      </c>
      <c r="J812" s="9">
        <v>1</v>
      </c>
      <c r="K812" s="9">
        <v>287</v>
      </c>
      <c r="L812" s="9">
        <v>2026</v>
      </c>
      <c r="M812" s="8" t="s">
        <v>5333</v>
      </c>
      <c r="N812" s="8" t="s">
        <v>125</v>
      </c>
      <c r="O812" s="8" t="s">
        <v>432</v>
      </c>
      <c r="P812" s="6" t="s">
        <v>44</v>
      </c>
      <c r="Q812" s="8" t="s">
        <v>45</v>
      </c>
      <c r="R812" s="10" t="s">
        <v>3973</v>
      </c>
      <c r="S812" s="11" t="s">
        <v>5334</v>
      </c>
      <c r="T812" s="6"/>
      <c r="U812" s="24" t="str">
        <f>HYPERLINK("https://media.infra-m.ru/2216/2216057/cover/2216057.jpg", "Обложка")</f>
        <v>Обложка</v>
      </c>
      <c r="V812" s="24" t="str">
        <f>HYPERLINK("https://znanium.ru/catalog/product/2213016", "Ознакомиться")</f>
        <v>Ознакомиться</v>
      </c>
      <c r="W812" s="8" t="s">
        <v>361</v>
      </c>
      <c r="X812" s="6"/>
      <c r="Y812" s="6"/>
      <c r="Z812" s="6"/>
      <c r="AA812" s="6" t="s">
        <v>5335</v>
      </c>
      <c r="AB812" s="8"/>
    </row>
    <row r="813" spans="1:28" s="4" customFormat="1" ht="51.95" customHeight="1">
      <c r="A813" s="5">
        <v>0</v>
      </c>
      <c r="B813" s="6" t="s">
        <v>5336</v>
      </c>
      <c r="C813" s="7">
        <v>1394</v>
      </c>
      <c r="D813" s="8" t="s">
        <v>5337</v>
      </c>
      <c r="E813" s="8" t="s">
        <v>5338</v>
      </c>
      <c r="F813" s="8" t="s">
        <v>5339</v>
      </c>
      <c r="G813" s="6" t="s">
        <v>67</v>
      </c>
      <c r="H813" s="6" t="s">
        <v>39</v>
      </c>
      <c r="I813" s="8" t="s">
        <v>69</v>
      </c>
      <c r="J813" s="9">
        <v>1</v>
      </c>
      <c r="K813" s="9">
        <v>269</v>
      </c>
      <c r="L813" s="9">
        <v>2025</v>
      </c>
      <c r="M813" s="8" t="s">
        <v>5340</v>
      </c>
      <c r="N813" s="8" t="s">
        <v>125</v>
      </c>
      <c r="O813" s="8" t="s">
        <v>432</v>
      </c>
      <c r="P813" s="6" t="s">
        <v>58</v>
      </c>
      <c r="Q813" s="8" t="s">
        <v>45</v>
      </c>
      <c r="R813" s="10" t="s">
        <v>5341</v>
      </c>
      <c r="S813" s="11" t="s">
        <v>5342</v>
      </c>
      <c r="T813" s="6"/>
      <c r="U813" s="24" t="str">
        <f>HYPERLINK("https://media.infra-m.ru/2193/2193008/cover/2193008.jpg", "Обложка")</f>
        <v>Обложка</v>
      </c>
      <c r="V813" s="24" t="str">
        <f>HYPERLINK("https://znanium.ru/catalog/product/1907307", "Ознакомиться")</f>
        <v>Ознакомиться</v>
      </c>
      <c r="W813" s="8" t="s">
        <v>5343</v>
      </c>
      <c r="X813" s="6"/>
      <c r="Y813" s="6"/>
      <c r="Z813" s="6"/>
      <c r="AA813" s="6" t="s">
        <v>2161</v>
      </c>
      <c r="AB813" s="8"/>
    </row>
    <row r="814" spans="1:28" s="4" customFormat="1" ht="51.95" customHeight="1">
      <c r="A814" s="5">
        <v>0</v>
      </c>
      <c r="B814" s="6" t="s">
        <v>5344</v>
      </c>
      <c r="C814" s="7">
        <v>1340</v>
      </c>
      <c r="D814" s="8" t="s">
        <v>5345</v>
      </c>
      <c r="E814" s="8" t="s">
        <v>5346</v>
      </c>
      <c r="F814" s="8" t="s">
        <v>5347</v>
      </c>
      <c r="G814" s="6" t="s">
        <v>90</v>
      </c>
      <c r="H814" s="6" t="s">
        <v>54</v>
      </c>
      <c r="I814" s="8" t="s">
        <v>40</v>
      </c>
      <c r="J814" s="9">
        <v>1</v>
      </c>
      <c r="K814" s="9">
        <v>256</v>
      </c>
      <c r="L814" s="9">
        <v>2026</v>
      </c>
      <c r="M814" s="8" t="s">
        <v>5348</v>
      </c>
      <c r="N814" s="8" t="s">
        <v>42</v>
      </c>
      <c r="O814" s="8" t="s">
        <v>187</v>
      </c>
      <c r="P814" s="6" t="s">
        <v>58</v>
      </c>
      <c r="Q814" s="8" t="s">
        <v>45</v>
      </c>
      <c r="R814" s="10" t="s">
        <v>3416</v>
      </c>
      <c r="S814" s="11" t="s">
        <v>5349</v>
      </c>
      <c r="T814" s="6"/>
      <c r="U814" s="24" t="str">
        <f>HYPERLINK("https://media.infra-m.ru/2220/2220917/cover/2220917.jpg", "Обложка")</f>
        <v>Обложка</v>
      </c>
      <c r="V814" s="24" t="str">
        <f>HYPERLINK("https://znanium.ru/catalog/product/2220917", "Ознакомиться")</f>
        <v>Ознакомиться</v>
      </c>
      <c r="W814" s="8" t="s">
        <v>190</v>
      </c>
      <c r="X814" s="6"/>
      <c r="Y814" s="6" t="s">
        <v>30</v>
      </c>
      <c r="Z814" s="6"/>
      <c r="AA814" s="6" t="s">
        <v>1526</v>
      </c>
      <c r="AB814" s="8"/>
    </row>
    <row r="815" spans="1:28" s="4" customFormat="1" ht="51.95" customHeight="1">
      <c r="A815" s="5">
        <v>0</v>
      </c>
      <c r="B815" s="6" t="s">
        <v>5350</v>
      </c>
      <c r="C815" s="7">
        <v>2160</v>
      </c>
      <c r="D815" s="8" t="s">
        <v>5351</v>
      </c>
      <c r="E815" s="8" t="s">
        <v>5352</v>
      </c>
      <c r="F815" s="8" t="s">
        <v>5353</v>
      </c>
      <c r="G815" s="6" t="s">
        <v>38</v>
      </c>
      <c r="H815" s="6" t="s">
        <v>54</v>
      </c>
      <c r="I815" s="8" t="s">
        <v>40</v>
      </c>
      <c r="J815" s="9">
        <v>1</v>
      </c>
      <c r="K815" s="9">
        <v>410</v>
      </c>
      <c r="L815" s="9">
        <v>2026</v>
      </c>
      <c r="M815" s="8" t="s">
        <v>5354</v>
      </c>
      <c r="N815" s="8" t="s">
        <v>42</v>
      </c>
      <c r="O815" s="8" t="s">
        <v>169</v>
      </c>
      <c r="P815" s="6" t="s">
        <v>44</v>
      </c>
      <c r="Q815" s="8" t="s">
        <v>45</v>
      </c>
      <c r="R815" s="10" t="s">
        <v>5355</v>
      </c>
      <c r="S815" s="11"/>
      <c r="T815" s="6"/>
      <c r="U815" s="24" t="str">
        <f>HYPERLINK("https://media.infra-m.ru/2215/2215829/cover/2215829.jpg", "Обложка")</f>
        <v>Обложка</v>
      </c>
      <c r="V815" s="24" t="str">
        <f>HYPERLINK("https://znanium.ru/catalog/product/2215829", "Ознакомиться")</f>
        <v>Ознакомиться</v>
      </c>
      <c r="W815" s="8" t="s">
        <v>180</v>
      </c>
      <c r="X815" s="6"/>
      <c r="Y815" s="6"/>
      <c r="Z815" s="6" t="s">
        <v>207</v>
      </c>
      <c r="AA815" s="6" t="s">
        <v>354</v>
      </c>
      <c r="AB815" s="8"/>
    </row>
    <row r="816" spans="1:28" s="4" customFormat="1" ht="51.95" customHeight="1">
      <c r="A816" s="5">
        <v>0</v>
      </c>
      <c r="B816" s="6" t="s">
        <v>5356</v>
      </c>
      <c r="C816" s="7">
        <v>1494</v>
      </c>
      <c r="D816" s="8" t="s">
        <v>5357</v>
      </c>
      <c r="E816" s="8" t="s">
        <v>5358</v>
      </c>
      <c r="F816" s="8" t="s">
        <v>5359</v>
      </c>
      <c r="G816" s="6" t="s">
        <v>90</v>
      </c>
      <c r="H816" s="6" t="s">
        <v>824</v>
      </c>
      <c r="I816" s="8"/>
      <c r="J816" s="9">
        <v>1</v>
      </c>
      <c r="K816" s="9">
        <v>288</v>
      </c>
      <c r="L816" s="9">
        <v>2026</v>
      </c>
      <c r="M816" s="8" t="s">
        <v>5360</v>
      </c>
      <c r="N816" s="8" t="s">
        <v>42</v>
      </c>
      <c r="O816" s="8" t="s">
        <v>169</v>
      </c>
      <c r="P816" s="6" t="s">
        <v>58</v>
      </c>
      <c r="Q816" s="8" t="s">
        <v>45</v>
      </c>
      <c r="R816" s="10" t="s">
        <v>5361</v>
      </c>
      <c r="S816" s="11"/>
      <c r="T816" s="6"/>
      <c r="U816" s="24" t="str">
        <f>HYPERLINK("https://media.infra-m.ru/2214/2214594/cover/2214594.jpg", "Обложка")</f>
        <v>Обложка</v>
      </c>
      <c r="V816" s="24" t="str">
        <f>HYPERLINK("https://znanium.ru/catalog/product/2214257", "Ознакомиться")</f>
        <v>Ознакомиться</v>
      </c>
      <c r="W816" s="8" t="s">
        <v>2309</v>
      </c>
      <c r="X816" s="6"/>
      <c r="Y816" s="6" t="s">
        <v>30</v>
      </c>
      <c r="Z816" s="6"/>
      <c r="AA816" s="6" t="s">
        <v>766</v>
      </c>
      <c r="AB816" s="8"/>
    </row>
    <row r="817" spans="1:28" s="4" customFormat="1" ht="51.95" customHeight="1">
      <c r="A817" s="5">
        <v>0</v>
      </c>
      <c r="B817" s="6" t="s">
        <v>5362</v>
      </c>
      <c r="C817" s="7">
        <v>1584</v>
      </c>
      <c r="D817" s="8" t="s">
        <v>5363</v>
      </c>
      <c r="E817" s="8" t="s">
        <v>5364</v>
      </c>
      <c r="F817" s="8" t="s">
        <v>5365</v>
      </c>
      <c r="G817" s="6" t="s">
        <v>38</v>
      </c>
      <c r="H817" s="6" t="s">
        <v>299</v>
      </c>
      <c r="I817" s="8" t="s">
        <v>69</v>
      </c>
      <c r="J817" s="9">
        <v>1</v>
      </c>
      <c r="K817" s="9">
        <v>304</v>
      </c>
      <c r="L817" s="9">
        <v>2025</v>
      </c>
      <c r="M817" s="8" t="s">
        <v>5366</v>
      </c>
      <c r="N817" s="8" t="s">
        <v>56</v>
      </c>
      <c r="O817" s="8" t="s">
        <v>3101</v>
      </c>
      <c r="P817" s="6" t="s">
        <v>58</v>
      </c>
      <c r="Q817" s="8" t="s">
        <v>45</v>
      </c>
      <c r="R817" s="10" t="s">
        <v>5367</v>
      </c>
      <c r="S817" s="11" t="s">
        <v>970</v>
      </c>
      <c r="T817" s="6"/>
      <c r="U817" s="24" t="str">
        <f>HYPERLINK("https://media.infra-m.ru/2196/2196876/cover/2196876.jpg", "Обложка")</f>
        <v>Обложка</v>
      </c>
      <c r="V817" s="24" t="str">
        <f>HYPERLINK("https://znanium.ru/catalog/product/1818640", "Ознакомиться")</f>
        <v>Ознакомиться</v>
      </c>
      <c r="W817" s="8" t="s">
        <v>5272</v>
      </c>
      <c r="X817" s="6"/>
      <c r="Y817" s="6"/>
      <c r="Z817" s="6"/>
      <c r="AA817" s="6" t="s">
        <v>237</v>
      </c>
      <c r="AB817" s="8"/>
    </row>
    <row r="818" spans="1:28" s="4" customFormat="1" ht="51.95" customHeight="1">
      <c r="A818" s="5">
        <v>0</v>
      </c>
      <c r="B818" s="6" t="s">
        <v>5368</v>
      </c>
      <c r="C818" s="7">
        <v>1340</v>
      </c>
      <c r="D818" s="8" t="s">
        <v>5369</v>
      </c>
      <c r="E818" s="8" t="s">
        <v>5370</v>
      </c>
      <c r="F818" s="8" t="s">
        <v>5371</v>
      </c>
      <c r="G818" s="6" t="s">
        <v>38</v>
      </c>
      <c r="H818" s="6" t="s">
        <v>54</v>
      </c>
      <c r="I818" s="8" t="s">
        <v>40</v>
      </c>
      <c r="J818" s="9">
        <v>20</v>
      </c>
      <c r="K818" s="9">
        <v>254</v>
      </c>
      <c r="L818" s="9">
        <v>2025</v>
      </c>
      <c r="M818" s="8" t="s">
        <v>5372</v>
      </c>
      <c r="N818" s="8" t="s">
        <v>56</v>
      </c>
      <c r="O818" s="8" t="s">
        <v>3101</v>
      </c>
      <c r="P818" s="6" t="s">
        <v>58</v>
      </c>
      <c r="Q818" s="8" t="s">
        <v>45</v>
      </c>
      <c r="R818" s="10" t="s">
        <v>5373</v>
      </c>
      <c r="S818" s="11" t="s">
        <v>970</v>
      </c>
      <c r="T818" s="6"/>
      <c r="U818" s="24" t="str">
        <f>HYPERLINK("https://media.infra-m.ru/1251/1251641/cover/1251641.jpg", "Обложка")</f>
        <v>Обложка</v>
      </c>
      <c r="V818" s="24" t="str">
        <f>HYPERLINK("https://znanium.ru/catalog/product/1251641", "Ознакомиться")</f>
        <v>Ознакомиться</v>
      </c>
      <c r="W818" s="8" t="s">
        <v>94</v>
      </c>
      <c r="X818" s="6"/>
      <c r="Y818" s="6"/>
      <c r="Z818" s="6"/>
      <c r="AA818" s="6" t="s">
        <v>368</v>
      </c>
      <c r="AB818" s="8"/>
    </row>
    <row r="819" spans="1:28" s="4" customFormat="1" ht="51.95" customHeight="1">
      <c r="A819" s="5">
        <v>0</v>
      </c>
      <c r="B819" s="6" t="s">
        <v>5374</v>
      </c>
      <c r="C819" s="13">
        <v>930</v>
      </c>
      <c r="D819" s="8" t="s">
        <v>5375</v>
      </c>
      <c r="E819" s="8" t="s">
        <v>5376</v>
      </c>
      <c r="F819" s="8" t="s">
        <v>334</v>
      </c>
      <c r="G819" s="6" t="s">
        <v>90</v>
      </c>
      <c r="H819" s="6" t="s">
        <v>54</v>
      </c>
      <c r="I819" s="8" t="s">
        <v>40</v>
      </c>
      <c r="J819" s="9">
        <v>1</v>
      </c>
      <c r="K819" s="9">
        <v>202</v>
      </c>
      <c r="L819" s="9">
        <v>2024</v>
      </c>
      <c r="M819" s="8" t="s">
        <v>5377</v>
      </c>
      <c r="N819" s="8" t="s">
        <v>42</v>
      </c>
      <c r="O819" s="8" t="s">
        <v>319</v>
      </c>
      <c r="P819" s="6" t="s">
        <v>44</v>
      </c>
      <c r="Q819" s="8" t="s">
        <v>45</v>
      </c>
      <c r="R819" s="10" t="s">
        <v>5378</v>
      </c>
      <c r="S819" s="11" t="s">
        <v>321</v>
      </c>
      <c r="T819" s="6"/>
      <c r="U819" s="24" t="str">
        <f>HYPERLINK("https://media.infra-m.ru/2086/2086795/cover/2086795.jpg", "Обложка")</f>
        <v>Обложка</v>
      </c>
      <c r="V819" s="24" t="str">
        <f>HYPERLINK("https://znanium.ru/catalog/product/2086795", "Ознакомиться")</f>
        <v>Ознакомиться</v>
      </c>
      <c r="W819" s="8" t="s">
        <v>293</v>
      </c>
      <c r="X819" s="6"/>
      <c r="Y819" s="6"/>
      <c r="Z819" s="6" t="s">
        <v>48</v>
      </c>
      <c r="AA819" s="6" t="s">
        <v>111</v>
      </c>
      <c r="AB819" s="8"/>
    </row>
    <row r="820" spans="1:28" s="4" customFormat="1" ht="51.95" customHeight="1">
      <c r="A820" s="5">
        <v>0</v>
      </c>
      <c r="B820" s="6" t="s">
        <v>5379</v>
      </c>
      <c r="C820" s="13">
        <v>824</v>
      </c>
      <c r="D820" s="8" t="s">
        <v>5380</v>
      </c>
      <c r="E820" s="8" t="s">
        <v>5381</v>
      </c>
      <c r="F820" s="8" t="s">
        <v>5382</v>
      </c>
      <c r="G820" s="6" t="s">
        <v>90</v>
      </c>
      <c r="H820" s="6" t="s">
        <v>299</v>
      </c>
      <c r="I820" s="8" t="s">
        <v>40</v>
      </c>
      <c r="J820" s="9">
        <v>1</v>
      </c>
      <c r="K820" s="9">
        <v>160</v>
      </c>
      <c r="L820" s="9">
        <v>2024</v>
      </c>
      <c r="M820" s="8" t="s">
        <v>5383</v>
      </c>
      <c r="N820" s="8" t="s">
        <v>42</v>
      </c>
      <c r="O820" s="8" t="s">
        <v>169</v>
      </c>
      <c r="P820" s="6" t="s">
        <v>44</v>
      </c>
      <c r="Q820" s="8" t="s">
        <v>45</v>
      </c>
      <c r="R820" s="10" t="s">
        <v>5384</v>
      </c>
      <c r="S820" s="11" t="s">
        <v>5385</v>
      </c>
      <c r="T820" s="6"/>
      <c r="U820" s="24" t="str">
        <f>HYPERLINK("https://media.infra-m.ru/2133/2133934/cover/2133934.jpg", "Обложка")</f>
        <v>Обложка</v>
      </c>
      <c r="V820" s="24" t="str">
        <f>HYPERLINK("https://znanium.ru/catalog/product/2086834", "Ознакомиться")</f>
        <v>Ознакомиться</v>
      </c>
      <c r="W820" s="8" t="s">
        <v>180</v>
      </c>
      <c r="X820" s="6"/>
      <c r="Y820" s="6"/>
      <c r="Z820" s="6" t="s">
        <v>48</v>
      </c>
      <c r="AA820" s="6" t="s">
        <v>111</v>
      </c>
      <c r="AB820" s="8"/>
    </row>
    <row r="821" spans="1:28" s="4" customFormat="1" ht="51.95" customHeight="1">
      <c r="A821" s="5">
        <v>0</v>
      </c>
      <c r="B821" s="6" t="s">
        <v>5386</v>
      </c>
      <c r="C821" s="13">
        <v>870</v>
      </c>
      <c r="D821" s="8" t="s">
        <v>5387</v>
      </c>
      <c r="E821" s="8" t="s">
        <v>5388</v>
      </c>
      <c r="F821" s="8" t="s">
        <v>5389</v>
      </c>
      <c r="G821" s="6" t="s">
        <v>90</v>
      </c>
      <c r="H821" s="6" t="s">
        <v>54</v>
      </c>
      <c r="I821" s="8" t="s">
        <v>40</v>
      </c>
      <c r="J821" s="9">
        <v>1</v>
      </c>
      <c r="K821" s="9">
        <v>167</v>
      </c>
      <c r="L821" s="9">
        <v>2025</v>
      </c>
      <c r="M821" s="8" t="s">
        <v>5390</v>
      </c>
      <c r="N821" s="8" t="s">
        <v>125</v>
      </c>
      <c r="O821" s="8" t="s">
        <v>432</v>
      </c>
      <c r="P821" s="6" t="s">
        <v>44</v>
      </c>
      <c r="Q821" s="8" t="s">
        <v>45</v>
      </c>
      <c r="R821" s="10" t="s">
        <v>4848</v>
      </c>
      <c r="S821" s="11" t="s">
        <v>5391</v>
      </c>
      <c r="T821" s="6"/>
      <c r="U821" s="24" t="str">
        <f>HYPERLINK("https://media.infra-m.ru/2184/2184584/cover/2184584.jpg", "Обложка")</f>
        <v>Обложка</v>
      </c>
      <c r="V821" s="24" t="str">
        <f>HYPERLINK("https://znanium.ru/catalog/product/1864109", "Ознакомиться")</f>
        <v>Ознакомиться</v>
      </c>
      <c r="W821" s="8" t="s">
        <v>1195</v>
      </c>
      <c r="X821" s="6"/>
      <c r="Y821" s="6"/>
      <c r="Z821" s="6"/>
      <c r="AA821" s="6" t="s">
        <v>999</v>
      </c>
      <c r="AB821" s="8" t="s">
        <v>869</v>
      </c>
    </row>
    <row r="822" spans="1:28" s="4" customFormat="1" ht="51.95" customHeight="1">
      <c r="A822" s="5">
        <v>0</v>
      </c>
      <c r="B822" s="6" t="s">
        <v>5392</v>
      </c>
      <c r="C822" s="13">
        <v>960</v>
      </c>
      <c r="D822" s="8" t="s">
        <v>5393</v>
      </c>
      <c r="E822" s="8" t="s">
        <v>5394</v>
      </c>
      <c r="F822" s="8" t="s">
        <v>2041</v>
      </c>
      <c r="G822" s="6" t="s">
        <v>38</v>
      </c>
      <c r="H822" s="6" t="s">
        <v>54</v>
      </c>
      <c r="I822" s="8" t="s">
        <v>40</v>
      </c>
      <c r="J822" s="9">
        <v>1</v>
      </c>
      <c r="K822" s="9">
        <v>198</v>
      </c>
      <c r="L822" s="9">
        <v>2023</v>
      </c>
      <c r="M822" s="8" t="s">
        <v>5395</v>
      </c>
      <c r="N822" s="8" t="s">
        <v>125</v>
      </c>
      <c r="O822" s="8" t="s">
        <v>352</v>
      </c>
      <c r="P822" s="6" t="s">
        <v>44</v>
      </c>
      <c r="Q822" s="8" t="s">
        <v>45</v>
      </c>
      <c r="R822" s="10" t="s">
        <v>1658</v>
      </c>
      <c r="S822" s="11" t="s">
        <v>5396</v>
      </c>
      <c r="T822" s="6"/>
      <c r="U822" s="24" t="str">
        <f>HYPERLINK("https://media.infra-m.ru/1866/1866814/cover/1866814.jpg", "Обложка")</f>
        <v>Обложка</v>
      </c>
      <c r="V822" s="24" t="str">
        <f>HYPERLINK("https://znanium.ru/catalog/product/1866814", "Ознакомиться")</f>
        <v>Ознакомиться</v>
      </c>
      <c r="W822" s="8" t="s">
        <v>2044</v>
      </c>
      <c r="X822" s="6"/>
      <c r="Y822" s="6"/>
      <c r="Z822" s="6"/>
      <c r="AA822" s="6" t="s">
        <v>102</v>
      </c>
      <c r="AB822" s="8"/>
    </row>
    <row r="823" spans="1:28" s="4" customFormat="1" ht="42" customHeight="1">
      <c r="A823" s="5">
        <v>0</v>
      </c>
      <c r="B823" s="6" t="s">
        <v>5397</v>
      </c>
      <c r="C823" s="7">
        <v>1530</v>
      </c>
      <c r="D823" s="8" t="s">
        <v>5398</v>
      </c>
      <c r="E823" s="8" t="s">
        <v>5399</v>
      </c>
      <c r="F823" s="8" t="s">
        <v>5400</v>
      </c>
      <c r="G823" s="6" t="s">
        <v>38</v>
      </c>
      <c r="H823" s="6" t="s">
        <v>54</v>
      </c>
      <c r="I823" s="8" t="s">
        <v>79</v>
      </c>
      <c r="J823" s="9">
        <v>1</v>
      </c>
      <c r="K823" s="9">
        <v>306</v>
      </c>
      <c r="L823" s="9">
        <v>2024</v>
      </c>
      <c r="M823" s="8" t="s">
        <v>5401</v>
      </c>
      <c r="N823" s="8" t="s">
        <v>125</v>
      </c>
      <c r="O823" s="8" t="s">
        <v>432</v>
      </c>
      <c r="P823" s="6" t="s">
        <v>58</v>
      </c>
      <c r="Q823" s="8" t="s">
        <v>45</v>
      </c>
      <c r="R823" s="10" t="s">
        <v>585</v>
      </c>
      <c r="S823" s="11"/>
      <c r="T823" s="6"/>
      <c r="U823" s="24" t="str">
        <f>HYPERLINK("https://media.infra-m.ru/2023/2023030/cover/2023030.jpg", "Обложка")</f>
        <v>Обложка</v>
      </c>
      <c r="V823" s="24" t="str">
        <f>HYPERLINK("https://znanium.ru/catalog/product/2023030", "Ознакомиться")</f>
        <v>Ознакомиться</v>
      </c>
      <c r="W823" s="8" t="s">
        <v>82</v>
      </c>
      <c r="X823" s="6"/>
      <c r="Y823" s="6"/>
      <c r="Z823" s="6"/>
      <c r="AA823" s="6" t="s">
        <v>354</v>
      </c>
      <c r="AB823" s="8" t="s">
        <v>710</v>
      </c>
    </row>
    <row r="824" spans="1:28" s="4" customFormat="1" ht="51.95" customHeight="1">
      <c r="A824" s="5">
        <v>0</v>
      </c>
      <c r="B824" s="6" t="s">
        <v>5402</v>
      </c>
      <c r="C824" s="7">
        <v>2814</v>
      </c>
      <c r="D824" s="8" t="s">
        <v>5403</v>
      </c>
      <c r="E824" s="8" t="s">
        <v>5404</v>
      </c>
      <c r="F824" s="8" t="s">
        <v>5405</v>
      </c>
      <c r="G824" s="6" t="s">
        <v>90</v>
      </c>
      <c r="H824" s="6" t="s">
        <v>54</v>
      </c>
      <c r="I824" s="8" t="s">
        <v>40</v>
      </c>
      <c r="J824" s="9">
        <v>1</v>
      </c>
      <c r="K824" s="9">
        <v>639</v>
      </c>
      <c r="L824" s="9">
        <v>2025</v>
      </c>
      <c r="M824" s="8" t="s">
        <v>5406</v>
      </c>
      <c r="N824" s="8" t="s">
        <v>125</v>
      </c>
      <c r="O824" s="8" t="s">
        <v>2476</v>
      </c>
      <c r="P824" s="6" t="s">
        <v>58</v>
      </c>
      <c r="Q824" s="8" t="s">
        <v>45</v>
      </c>
      <c r="R824" s="10" t="s">
        <v>5407</v>
      </c>
      <c r="S824" s="11" t="s">
        <v>5408</v>
      </c>
      <c r="T824" s="6"/>
      <c r="U824" s="24" t="str">
        <f>HYPERLINK("https://media.infra-m.ru/2206/2206791/cover/2206791.jpg", "Обложка")</f>
        <v>Обложка</v>
      </c>
      <c r="V824" s="24" t="str">
        <f>HYPERLINK("https://znanium.ru/catalog/product/1922314", "Ознакомиться")</f>
        <v>Ознакомиться</v>
      </c>
      <c r="W824" s="8" t="s">
        <v>1581</v>
      </c>
      <c r="X824" s="6"/>
      <c r="Y824" s="6" t="s">
        <v>30</v>
      </c>
      <c r="Z824" s="6" t="s">
        <v>48</v>
      </c>
      <c r="AA824" s="6" t="s">
        <v>129</v>
      </c>
      <c r="AB824" s="8"/>
    </row>
    <row r="825" spans="1:28" s="4" customFormat="1" ht="51.95" customHeight="1">
      <c r="A825" s="5">
        <v>0</v>
      </c>
      <c r="B825" s="6" t="s">
        <v>5409</v>
      </c>
      <c r="C825" s="7">
        <v>2494</v>
      </c>
      <c r="D825" s="8" t="s">
        <v>5410</v>
      </c>
      <c r="E825" s="8" t="s">
        <v>5411</v>
      </c>
      <c r="F825" s="8" t="s">
        <v>5412</v>
      </c>
      <c r="G825" s="6" t="s">
        <v>90</v>
      </c>
      <c r="H825" s="6" t="s">
        <v>54</v>
      </c>
      <c r="I825" s="8" t="s">
        <v>40</v>
      </c>
      <c r="J825" s="9">
        <v>1</v>
      </c>
      <c r="K825" s="9">
        <v>480</v>
      </c>
      <c r="L825" s="9">
        <v>2025</v>
      </c>
      <c r="M825" s="8" t="s">
        <v>5413</v>
      </c>
      <c r="N825" s="8" t="s">
        <v>42</v>
      </c>
      <c r="O825" s="8" t="s">
        <v>187</v>
      </c>
      <c r="P825" s="6" t="s">
        <v>58</v>
      </c>
      <c r="Q825" s="8" t="s">
        <v>45</v>
      </c>
      <c r="R825" s="10" t="s">
        <v>5414</v>
      </c>
      <c r="S825" s="11" t="s">
        <v>252</v>
      </c>
      <c r="T825" s="6"/>
      <c r="U825" s="24" t="str">
        <f>HYPERLINK("https://media.infra-m.ru/2191/2191625/cover/2191625.jpg", "Обложка")</f>
        <v>Обложка</v>
      </c>
      <c r="V825" s="24" t="str">
        <f>HYPERLINK("https://znanium.ru/catalog/product/2143708", "Ознакомиться")</f>
        <v>Ознакомиться</v>
      </c>
      <c r="W825" s="8" t="s">
        <v>5415</v>
      </c>
      <c r="X825" s="6"/>
      <c r="Y825" s="6" t="s">
        <v>30</v>
      </c>
      <c r="Z825" s="6"/>
      <c r="AA825" s="6" t="s">
        <v>1526</v>
      </c>
      <c r="AB825" s="8"/>
    </row>
    <row r="826" spans="1:28" s="4" customFormat="1" ht="51.95" customHeight="1">
      <c r="A826" s="5">
        <v>0</v>
      </c>
      <c r="B826" s="6" t="s">
        <v>5416</v>
      </c>
      <c r="C826" s="7">
        <v>1310</v>
      </c>
      <c r="D826" s="8" t="s">
        <v>5417</v>
      </c>
      <c r="E826" s="8" t="s">
        <v>5418</v>
      </c>
      <c r="F826" s="8" t="s">
        <v>1011</v>
      </c>
      <c r="G826" s="6" t="s">
        <v>90</v>
      </c>
      <c r="H826" s="6" t="s">
        <v>134</v>
      </c>
      <c r="I826" s="8" t="s">
        <v>40</v>
      </c>
      <c r="J826" s="9">
        <v>1</v>
      </c>
      <c r="K826" s="9">
        <v>251</v>
      </c>
      <c r="L826" s="9">
        <v>2025</v>
      </c>
      <c r="M826" s="8" t="s">
        <v>5419</v>
      </c>
      <c r="N826" s="8" t="s">
        <v>125</v>
      </c>
      <c r="O826" s="8" t="s">
        <v>352</v>
      </c>
      <c r="P826" s="6" t="s">
        <v>44</v>
      </c>
      <c r="Q826" s="8" t="s">
        <v>45</v>
      </c>
      <c r="R826" s="10" t="s">
        <v>2884</v>
      </c>
      <c r="S826" s="11" t="s">
        <v>5420</v>
      </c>
      <c r="T826" s="6"/>
      <c r="U826" s="24" t="str">
        <f>HYPERLINK("https://media.infra-m.ru/2199/2199589/cover/2199589.jpg", "Обложка")</f>
        <v>Обложка</v>
      </c>
      <c r="V826" s="24" t="str">
        <f>HYPERLINK("https://znanium.ru/catalog/product/2199589", "Ознакомиться")</f>
        <v>Ознакомиться</v>
      </c>
      <c r="W826" s="8" t="s">
        <v>1014</v>
      </c>
      <c r="X826" s="6"/>
      <c r="Y826" s="6"/>
      <c r="Z826" s="6" t="s">
        <v>48</v>
      </c>
      <c r="AA826" s="6" t="s">
        <v>111</v>
      </c>
      <c r="AB826" s="8"/>
    </row>
    <row r="827" spans="1:28" s="4" customFormat="1" ht="51.95" customHeight="1">
      <c r="A827" s="5">
        <v>0</v>
      </c>
      <c r="B827" s="6" t="s">
        <v>5421</v>
      </c>
      <c r="C827" s="7">
        <v>1120</v>
      </c>
      <c r="D827" s="8" t="s">
        <v>5422</v>
      </c>
      <c r="E827" s="8" t="s">
        <v>5423</v>
      </c>
      <c r="F827" s="8" t="s">
        <v>5424</v>
      </c>
      <c r="G827" s="6" t="s">
        <v>90</v>
      </c>
      <c r="H827" s="6" t="s">
        <v>54</v>
      </c>
      <c r="I827" s="8" t="s">
        <v>40</v>
      </c>
      <c r="J827" s="9">
        <v>1</v>
      </c>
      <c r="K827" s="9">
        <v>248</v>
      </c>
      <c r="L827" s="9">
        <v>2023</v>
      </c>
      <c r="M827" s="8" t="s">
        <v>5425</v>
      </c>
      <c r="N827" s="8" t="s">
        <v>535</v>
      </c>
      <c r="O827" s="8" t="s">
        <v>1048</v>
      </c>
      <c r="P827" s="6" t="s">
        <v>44</v>
      </c>
      <c r="Q827" s="8" t="s">
        <v>45</v>
      </c>
      <c r="R827" s="10" t="s">
        <v>5426</v>
      </c>
      <c r="S827" s="11" t="s">
        <v>5427</v>
      </c>
      <c r="T827" s="6"/>
      <c r="U827" s="24" t="str">
        <f>HYPERLINK("https://media.infra-m.ru/1900/1900925/cover/1900925.jpg", "Обложка")</f>
        <v>Обложка</v>
      </c>
      <c r="V827" s="24" t="str">
        <f>HYPERLINK("https://znanium.ru/catalog/product/1900925", "Ознакомиться")</f>
        <v>Ознакомиться</v>
      </c>
      <c r="W827" s="8" t="s">
        <v>2502</v>
      </c>
      <c r="X827" s="6"/>
      <c r="Y827" s="6"/>
      <c r="Z827" s="6" t="s">
        <v>48</v>
      </c>
      <c r="AA827" s="6" t="s">
        <v>111</v>
      </c>
      <c r="AB827" s="8"/>
    </row>
    <row r="828" spans="1:28" s="4" customFormat="1" ht="51.95" customHeight="1">
      <c r="A828" s="5">
        <v>0</v>
      </c>
      <c r="B828" s="6" t="s">
        <v>5428</v>
      </c>
      <c r="C828" s="7">
        <v>1704</v>
      </c>
      <c r="D828" s="8" t="s">
        <v>5429</v>
      </c>
      <c r="E828" s="8" t="s">
        <v>5430</v>
      </c>
      <c r="F828" s="8" t="s">
        <v>5431</v>
      </c>
      <c r="G828" s="6" t="s">
        <v>90</v>
      </c>
      <c r="H828" s="6" t="s">
        <v>54</v>
      </c>
      <c r="I828" s="8" t="s">
        <v>40</v>
      </c>
      <c r="J828" s="9">
        <v>1</v>
      </c>
      <c r="K828" s="9">
        <v>328</v>
      </c>
      <c r="L828" s="9">
        <v>2026</v>
      </c>
      <c r="M828" s="8" t="s">
        <v>5432</v>
      </c>
      <c r="N828" s="8" t="s">
        <v>42</v>
      </c>
      <c r="O828" s="8" t="s">
        <v>553</v>
      </c>
      <c r="P828" s="6" t="s">
        <v>58</v>
      </c>
      <c r="Q828" s="8" t="s">
        <v>45</v>
      </c>
      <c r="R828" s="10" t="s">
        <v>5433</v>
      </c>
      <c r="S828" s="11" t="s">
        <v>5434</v>
      </c>
      <c r="T828" s="6" t="s">
        <v>118</v>
      </c>
      <c r="U828" s="24" t="str">
        <f>HYPERLINK("https://media.infra-m.ru/2221/2221067/cover/2221067.jpg", "Обложка")</f>
        <v>Обложка</v>
      </c>
      <c r="V828" s="24" t="str">
        <f>HYPERLINK("https://znanium.ru/catalog/product/2130984", "Ознакомиться")</f>
        <v>Ознакомиться</v>
      </c>
      <c r="W828" s="8" t="s">
        <v>5435</v>
      </c>
      <c r="X828" s="6"/>
      <c r="Y828" s="6"/>
      <c r="Z828" s="6"/>
      <c r="AA828" s="6" t="s">
        <v>766</v>
      </c>
      <c r="AB828" s="8" t="s">
        <v>401</v>
      </c>
    </row>
    <row r="829" spans="1:28" s="4" customFormat="1" ht="51.95" customHeight="1">
      <c r="A829" s="5">
        <v>0</v>
      </c>
      <c r="B829" s="6" t="s">
        <v>5436</v>
      </c>
      <c r="C829" s="13">
        <v>940</v>
      </c>
      <c r="D829" s="8" t="s">
        <v>5437</v>
      </c>
      <c r="E829" s="8" t="s">
        <v>5438</v>
      </c>
      <c r="F829" s="8" t="s">
        <v>5439</v>
      </c>
      <c r="G829" s="6" t="s">
        <v>90</v>
      </c>
      <c r="H829" s="6" t="s">
        <v>54</v>
      </c>
      <c r="I829" s="8" t="s">
        <v>40</v>
      </c>
      <c r="J829" s="9">
        <v>1</v>
      </c>
      <c r="K829" s="9">
        <v>169</v>
      </c>
      <c r="L829" s="9">
        <v>2026</v>
      </c>
      <c r="M829" s="8" t="s">
        <v>5440</v>
      </c>
      <c r="N829" s="8" t="s">
        <v>125</v>
      </c>
      <c r="O829" s="8" t="s">
        <v>352</v>
      </c>
      <c r="P829" s="6" t="s">
        <v>44</v>
      </c>
      <c r="Q829" s="8" t="s">
        <v>45</v>
      </c>
      <c r="R829" s="10" t="s">
        <v>5441</v>
      </c>
      <c r="S829" s="11" t="s">
        <v>5442</v>
      </c>
      <c r="T829" s="6"/>
      <c r="U829" s="24" t="str">
        <f>HYPERLINK("https://media.infra-m.ru/2220/2220059/cover/2220059.jpg", "Обложка")</f>
        <v>Обложка</v>
      </c>
      <c r="V829" s="24" t="str">
        <f>HYPERLINK("https://znanium.ru/catalog/product/2220059", "Ознакомиться")</f>
        <v>Ознакомиться</v>
      </c>
      <c r="W829" s="8" t="s">
        <v>180</v>
      </c>
      <c r="X829" s="6"/>
      <c r="Y829" s="6"/>
      <c r="Z829" s="6"/>
      <c r="AA829" s="6" t="s">
        <v>362</v>
      </c>
      <c r="AB829" s="8"/>
    </row>
    <row r="830" spans="1:28" s="4" customFormat="1" ht="51.95" customHeight="1">
      <c r="A830" s="5">
        <v>0</v>
      </c>
      <c r="B830" s="6" t="s">
        <v>5443</v>
      </c>
      <c r="C830" s="13">
        <v>574</v>
      </c>
      <c r="D830" s="8" t="s">
        <v>5444</v>
      </c>
      <c r="E830" s="8" t="s">
        <v>5445</v>
      </c>
      <c r="F830" s="8" t="s">
        <v>5439</v>
      </c>
      <c r="G830" s="6" t="s">
        <v>67</v>
      </c>
      <c r="H830" s="6" t="s">
        <v>299</v>
      </c>
      <c r="I830" s="8" t="s">
        <v>40</v>
      </c>
      <c r="J830" s="9">
        <v>1</v>
      </c>
      <c r="K830" s="9">
        <v>125</v>
      </c>
      <c r="L830" s="9">
        <v>2023</v>
      </c>
      <c r="M830" s="8" t="s">
        <v>5446</v>
      </c>
      <c r="N830" s="8" t="s">
        <v>125</v>
      </c>
      <c r="O830" s="8" t="s">
        <v>352</v>
      </c>
      <c r="P830" s="6" t="s">
        <v>44</v>
      </c>
      <c r="Q830" s="8" t="s">
        <v>45</v>
      </c>
      <c r="R830" s="10" t="s">
        <v>5441</v>
      </c>
      <c r="S830" s="11" t="s">
        <v>5442</v>
      </c>
      <c r="T830" s="6"/>
      <c r="U830" s="24" t="str">
        <f>HYPERLINK("https://media.infra-m.ru/2124/2124785/cover/2124785.jpg", "Обложка")</f>
        <v>Обложка</v>
      </c>
      <c r="V830" s="24" t="str">
        <f>HYPERLINK("https://znanium.ru/catalog/product/2220059", "Ознакомиться")</f>
        <v>Ознакомиться</v>
      </c>
      <c r="W830" s="8" t="s">
        <v>180</v>
      </c>
      <c r="X830" s="6"/>
      <c r="Y830" s="6"/>
      <c r="Z830" s="6"/>
      <c r="AA830" s="6" t="s">
        <v>696</v>
      </c>
      <c r="AB830" s="8"/>
    </row>
    <row r="831" spans="1:28" s="4" customFormat="1" ht="42" customHeight="1">
      <c r="A831" s="5">
        <v>0</v>
      </c>
      <c r="B831" s="6" t="s">
        <v>5447</v>
      </c>
      <c r="C831" s="13">
        <v>674</v>
      </c>
      <c r="D831" s="8" t="s">
        <v>5448</v>
      </c>
      <c r="E831" s="8" t="s">
        <v>5449</v>
      </c>
      <c r="F831" s="8" t="s">
        <v>5450</v>
      </c>
      <c r="G831" s="6" t="s">
        <v>38</v>
      </c>
      <c r="H831" s="6" t="s">
        <v>54</v>
      </c>
      <c r="I831" s="8" t="s">
        <v>40</v>
      </c>
      <c r="J831" s="9">
        <v>1</v>
      </c>
      <c r="K831" s="9">
        <v>129</v>
      </c>
      <c r="L831" s="9">
        <v>2025</v>
      </c>
      <c r="M831" s="8" t="s">
        <v>5451</v>
      </c>
      <c r="N831" s="8" t="s">
        <v>125</v>
      </c>
      <c r="O831" s="8" t="s">
        <v>352</v>
      </c>
      <c r="P831" s="6" t="s">
        <v>44</v>
      </c>
      <c r="Q831" s="8" t="s">
        <v>45</v>
      </c>
      <c r="R831" s="10" t="s">
        <v>5452</v>
      </c>
      <c r="S831" s="11"/>
      <c r="T831" s="6"/>
      <c r="U831" s="24" t="str">
        <f>HYPERLINK("https://media.infra-m.ru/2165/2165163/cover/2165163.jpg", "Обложка")</f>
        <v>Обложка</v>
      </c>
      <c r="V831" s="24" t="str">
        <f>HYPERLINK("https://znanium.ru/catalog/product/2157388", "Ознакомиться")</f>
        <v>Ознакомиться</v>
      </c>
      <c r="W831" s="8" t="s">
        <v>1950</v>
      </c>
      <c r="X831" s="6"/>
      <c r="Y831" s="6"/>
      <c r="Z831" s="6"/>
      <c r="AA831" s="6" t="s">
        <v>102</v>
      </c>
      <c r="AB831" s="8"/>
    </row>
    <row r="832" spans="1:28" s="4" customFormat="1" ht="51.95" customHeight="1">
      <c r="A832" s="5">
        <v>0</v>
      </c>
      <c r="B832" s="6" t="s">
        <v>5453</v>
      </c>
      <c r="C832" s="7">
        <v>1254</v>
      </c>
      <c r="D832" s="8" t="s">
        <v>5454</v>
      </c>
      <c r="E832" s="8" t="s">
        <v>5455</v>
      </c>
      <c r="F832" s="8" t="s">
        <v>5456</v>
      </c>
      <c r="G832" s="6" t="s">
        <v>90</v>
      </c>
      <c r="H832" s="6" t="s">
        <v>299</v>
      </c>
      <c r="I832" s="8" t="s">
        <v>40</v>
      </c>
      <c r="J832" s="9">
        <v>1</v>
      </c>
      <c r="K832" s="9">
        <v>240</v>
      </c>
      <c r="L832" s="9">
        <v>2025</v>
      </c>
      <c r="M832" s="8" t="s">
        <v>5457</v>
      </c>
      <c r="N832" s="8" t="s">
        <v>125</v>
      </c>
      <c r="O832" s="8" t="s">
        <v>352</v>
      </c>
      <c r="P832" s="6" t="s">
        <v>44</v>
      </c>
      <c r="Q832" s="8" t="s">
        <v>45</v>
      </c>
      <c r="R832" s="10" t="s">
        <v>5458</v>
      </c>
      <c r="S832" s="11" t="s">
        <v>5459</v>
      </c>
      <c r="T832" s="6"/>
      <c r="U832" s="24" t="str">
        <f>HYPERLINK("https://media.infra-m.ru/2220/2220061/cover/2220061.jpg", "Обложка")</f>
        <v>Обложка</v>
      </c>
      <c r="V832" s="24" t="str">
        <f>HYPERLINK("https://znanium.ru/catalog/product/2143452", "Ознакомиться")</f>
        <v>Ознакомиться</v>
      </c>
      <c r="W832" s="8" t="s">
        <v>303</v>
      </c>
      <c r="X832" s="6"/>
      <c r="Y832" s="6" t="s">
        <v>30</v>
      </c>
      <c r="Z832" s="6"/>
      <c r="AA832" s="6" t="s">
        <v>304</v>
      </c>
      <c r="AB832" s="8"/>
    </row>
    <row r="833" spans="1:28" s="4" customFormat="1" ht="51.95" customHeight="1">
      <c r="A833" s="5">
        <v>0</v>
      </c>
      <c r="B833" s="6" t="s">
        <v>5460</v>
      </c>
      <c r="C833" s="7">
        <v>2070</v>
      </c>
      <c r="D833" s="8" t="s">
        <v>5461</v>
      </c>
      <c r="E833" s="8" t="s">
        <v>5462</v>
      </c>
      <c r="F833" s="8" t="s">
        <v>4674</v>
      </c>
      <c r="G833" s="6" t="s">
        <v>38</v>
      </c>
      <c r="H833" s="6" t="s">
        <v>54</v>
      </c>
      <c r="I833" s="8" t="s">
        <v>568</v>
      </c>
      <c r="J833" s="9">
        <v>1</v>
      </c>
      <c r="K833" s="9">
        <v>451</v>
      </c>
      <c r="L833" s="9">
        <v>2023</v>
      </c>
      <c r="M833" s="8" t="s">
        <v>5463</v>
      </c>
      <c r="N833" s="8" t="s">
        <v>125</v>
      </c>
      <c r="O833" s="8" t="s">
        <v>432</v>
      </c>
      <c r="P833" s="6" t="s">
        <v>44</v>
      </c>
      <c r="Q833" s="8" t="s">
        <v>45</v>
      </c>
      <c r="R833" s="10" t="s">
        <v>5464</v>
      </c>
      <c r="S833" s="11" t="s">
        <v>5465</v>
      </c>
      <c r="T833" s="6"/>
      <c r="U833" s="24" t="str">
        <f>HYPERLINK("https://media.infra-m.ru/1908/1908971/cover/1908971.jpg", "Обложка")</f>
        <v>Обложка</v>
      </c>
      <c r="V833" s="24" t="str">
        <f>HYPERLINK("https://znanium.ru/catalog/product/1908971", "Ознакомиться")</f>
        <v>Ознакомиться</v>
      </c>
      <c r="W833" s="8" t="s">
        <v>1180</v>
      </c>
      <c r="X833" s="6"/>
      <c r="Y833" s="6"/>
      <c r="Z833" s="6"/>
      <c r="AA833" s="6" t="s">
        <v>362</v>
      </c>
      <c r="AB833" s="8"/>
    </row>
    <row r="834" spans="1:28" s="4" customFormat="1" ht="51.95" customHeight="1">
      <c r="A834" s="5">
        <v>0</v>
      </c>
      <c r="B834" s="6" t="s">
        <v>5466</v>
      </c>
      <c r="C834" s="7">
        <v>1164</v>
      </c>
      <c r="D834" s="8" t="s">
        <v>5467</v>
      </c>
      <c r="E834" s="8" t="s">
        <v>5468</v>
      </c>
      <c r="F834" s="8" t="s">
        <v>5469</v>
      </c>
      <c r="G834" s="6" t="s">
        <v>90</v>
      </c>
      <c r="H834" s="6" t="s">
        <v>54</v>
      </c>
      <c r="I834" s="8" t="s">
        <v>40</v>
      </c>
      <c r="J834" s="9">
        <v>1</v>
      </c>
      <c r="K834" s="9">
        <v>212</v>
      </c>
      <c r="L834" s="9">
        <v>2026</v>
      </c>
      <c r="M834" s="8" t="s">
        <v>5470</v>
      </c>
      <c r="N834" s="8" t="s">
        <v>125</v>
      </c>
      <c r="O834" s="8" t="s">
        <v>352</v>
      </c>
      <c r="P834" s="6" t="s">
        <v>58</v>
      </c>
      <c r="Q834" s="8" t="s">
        <v>45</v>
      </c>
      <c r="R834" s="10" t="s">
        <v>5471</v>
      </c>
      <c r="S834" s="11" t="s">
        <v>5472</v>
      </c>
      <c r="T834" s="6"/>
      <c r="U834" s="24" t="str">
        <f>HYPERLINK("https://media.infra-m.ru/2225/2225002/cover/2225002.jpg", "Обложка")</f>
        <v>Обложка</v>
      </c>
      <c r="V834" s="24" t="str">
        <f>HYPERLINK("https://znanium.ru/catalog/product/2213277", "Ознакомиться")</f>
        <v>Ознакомиться</v>
      </c>
      <c r="W834" s="8" t="s">
        <v>172</v>
      </c>
      <c r="X834" s="6"/>
      <c r="Y834" s="6" t="s">
        <v>30</v>
      </c>
      <c r="Z834" s="6"/>
      <c r="AA834" s="6" t="s">
        <v>485</v>
      </c>
      <c r="AB834" s="8"/>
    </row>
    <row r="835" spans="1:28" s="4" customFormat="1" ht="51.95" customHeight="1">
      <c r="A835" s="5">
        <v>0</v>
      </c>
      <c r="B835" s="6" t="s">
        <v>5473</v>
      </c>
      <c r="C835" s="7">
        <v>1020</v>
      </c>
      <c r="D835" s="8" t="s">
        <v>5474</v>
      </c>
      <c r="E835" s="8" t="s">
        <v>5475</v>
      </c>
      <c r="F835" s="8" t="s">
        <v>5469</v>
      </c>
      <c r="G835" s="6" t="s">
        <v>90</v>
      </c>
      <c r="H835" s="6" t="s">
        <v>39</v>
      </c>
      <c r="I835" s="8" t="s">
        <v>40</v>
      </c>
      <c r="J835" s="9">
        <v>1</v>
      </c>
      <c r="K835" s="9">
        <v>298</v>
      </c>
      <c r="L835" s="9">
        <v>2020</v>
      </c>
      <c r="M835" s="8" t="s">
        <v>5476</v>
      </c>
      <c r="N835" s="8" t="s">
        <v>125</v>
      </c>
      <c r="O835" s="8" t="s">
        <v>352</v>
      </c>
      <c r="P835" s="6" t="s">
        <v>44</v>
      </c>
      <c r="Q835" s="8" t="s">
        <v>45</v>
      </c>
      <c r="R835" s="10" t="s">
        <v>5471</v>
      </c>
      <c r="S835" s="11" t="s">
        <v>5477</v>
      </c>
      <c r="T835" s="6"/>
      <c r="U835" s="24" t="str">
        <f>HYPERLINK("https://media.infra-m.ru/1096/1096998/cover/1096998.jpg", "Обложка")</f>
        <v>Обложка</v>
      </c>
      <c r="V835" s="24" t="str">
        <f>HYPERLINK("https://znanium.ru/catalog/product/2213277", "Ознакомиться")</f>
        <v>Ознакомиться</v>
      </c>
      <c r="W835" s="8" t="s">
        <v>172</v>
      </c>
      <c r="X835" s="6"/>
      <c r="Y835" s="6" t="s">
        <v>30</v>
      </c>
      <c r="Z835" s="6"/>
      <c r="AA835" s="6" t="s">
        <v>1547</v>
      </c>
      <c r="AB835" s="8"/>
    </row>
    <row r="836" spans="1:28" s="4" customFormat="1" ht="51.95" customHeight="1">
      <c r="A836" s="5">
        <v>0</v>
      </c>
      <c r="B836" s="6" t="s">
        <v>5478</v>
      </c>
      <c r="C836" s="7">
        <v>1420</v>
      </c>
      <c r="D836" s="8" t="s">
        <v>5479</v>
      </c>
      <c r="E836" s="8" t="s">
        <v>5480</v>
      </c>
      <c r="F836" s="8" t="s">
        <v>5481</v>
      </c>
      <c r="G836" s="6" t="s">
        <v>90</v>
      </c>
      <c r="H836" s="6" t="s">
        <v>54</v>
      </c>
      <c r="I836" s="8" t="s">
        <v>40</v>
      </c>
      <c r="J836" s="9">
        <v>1</v>
      </c>
      <c r="K836" s="9">
        <v>268</v>
      </c>
      <c r="L836" s="9">
        <v>2025</v>
      </c>
      <c r="M836" s="8" t="s">
        <v>5482</v>
      </c>
      <c r="N836" s="8" t="s">
        <v>42</v>
      </c>
      <c r="O836" s="8" t="s">
        <v>187</v>
      </c>
      <c r="P836" s="6" t="s">
        <v>58</v>
      </c>
      <c r="Q836" s="8" t="s">
        <v>45</v>
      </c>
      <c r="R836" s="10" t="s">
        <v>4076</v>
      </c>
      <c r="S836" s="11" t="s">
        <v>4077</v>
      </c>
      <c r="T836" s="6"/>
      <c r="U836" s="24" t="str">
        <f>HYPERLINK("https://media.infra-m.ru/2210/2210912/cover/2210912.jpg", "Обложка")</f>
        <v>Обложка</v>
      </c>
      <c r="V836" s="24" t="str">
        <f>HYPERLINK("https://znanium.ru/catalog/product/2210912", "Ознакомиться")</f>
        <v>Ознакомиться</v>
      </c>
      <c r="W836" s="8" t="s">
        <v>190</v>
      </c>
      <c r="X836" s="6"/>
      <c r="Y836" s="6" t="s">
        <v>30</v>
      </c>
      <c r="Z836" s="6"/>
      <c r="AA836" s="6" t="s">
        <v>1526</v>
      </c>
      <c r="AB836" s="8"/>
    </row>
    <row r="837" spans="1:28" s="4" customFormat="1" ht="51.95" customHeight="1">
      <c r="A837" s="5">
        <v>0</v>
      </c>
      <c r="B837" s="6" t="s">
        <v>5483</v>
      </c>
      <c r="C837" s="7">
        <v>1730</v>
      </c>
      <c r="D837" s="8" t="s">
        <v>5484</v>
      </c>
      <c r="E837" s="8" t="s">
        <v>5485</v>
      </c>
      <c r="F837" s="8" t="s">
        <v>2245</v>
      </c>
      <c r="G837" s="6" t="s">
        <v>90</v>
      </c>
      <c r="H837" s="6" t="s">
        <v>54</v>
      </c>
      <c r="I837" s="8" t="s">
        <v>40</v>
      </c>
      <c r="J837" s="9">
        <v>1</v>
      </c>
      <c r="K837" s="9">
        <v>334</v>
      </c>
      <c r="L837" s="9">
        <v>2025</v>
      </c>
      <c r="M837" s="8" t="s">
        <v>5486</v>
      </c>
      <c r="N837" s="8" t="s">
        <v>42</v>
      </c>
      <c r="O837" s="8" t="s">
        <v>43</v>
      </c>
      <c r="P837" s="6" t="s">
        <v>44</v>
      </c>
      <c r="Q837" s="8" t="s">
        <v>45</v>
      </c>
      <c r="R837" s="10" t="s">
        <v>5487</v>
      </c>
      <c r="S837" s="11" t="s">
        <v>5488</v>
      </c>
      <c r="T837" s="6"/>
      <c r="U837" s="24" t="str">
        <f>HYPERLINK("https://media.infra-m.ru/2187/2187013/cover/2187013.jpg", "Обложка")</f>
        <v>Обложка</v>
      </c>
      <c r="V837" s="24" t="str">
        <f>HYPERLINK("https://znanium.ru/catalog/product/989598", "Ознакомиться")</f>
        <v>Ознакомиться</v>
      </c>
      <c r="W837" s="8"/>
      <c r="X837" s="6"/>
      <c r="Y837" s="6"/>
      <c r="Z837" s="6"/>
      <c r="AA837" s="6" t="s">
        <v>223</v>
      </c>
      <c r="AB837" s="8"/>
    </row>
    <row r="838" spans="1:28" s="4" customFormat="1" ht="51.95" customHeight="1">
      <c r="A838" s="5">
        <v>0</v>
      </c>
      <c r="B838" s="6" t="s">
        <v>5489</v>
      </c>
      <c r="C838" s="7">
        <v>2420</v>
      </c>
      <c r="D838" s="8" t="s">
        <v>5490</v>
      </c>
      <c r="E838" s="8" t="s">
        <v>5491</v>
      </c>
      <c r="F838" s="8" t="s">
        <v>5492</v>
      </c>
      <c r="G838" s="6" t="s">
        <v>38</v>
      </c>
      <c r="H838" s="6" t="s">
        <v>54</v>
      </c>
      <c r="I838" s="8" t="s">
        <v>40</v>
      </c>
      <c r="J838" s="9">
        <v>1</v>
      </c>
      <c r="K838" s="9">
        <v>467</v>
      </c>
      <c r="L838" s="9">
        <v>2026</v>
      </c>
      <c r="M838" s="8" t="s">
        <v>5493</v>
      </c>
      <c r="N838" s="8" t="s">
        <v>42</v>
      </c>
      <c r="O838" s="8" t="s">
        <v>319</v>
      </c>
      <c r="P838" s="6" t="s">
        <v>58</v>
      </c>
      <c r="Q838" s="8" t="s">
        <v>45</v>
      </c>
      <c r="R838" s="10" t="s">
        <v>5494</v>
      </c>
      <c r="S838" s="11" t="s">
        <v>1357</v>
      </c>
      <c r="T838" s="6" t="s">
        <v>118</v>
      </c>
      <c r="U838" s="24" t="str">
        <f>HYPERLINK("https://media.infra-m.ru/2215/2215374/cover/2215374.jpg", "Обложка")</f>
        <v>Обложка</v>
      </c>
      <c r="V838" s="24" t="str">
        <f>HYPERLINK("https://znanium.ru/catalog/product/2215374", "Ознакомиться")</f>
        <v>Ознакомиться</v>
      </c>
      <c r="W838" s="8" t="s">
        <v>572</v>
      </c>
      <c r="X838" s="6"/>
      <c r="Y838" s="6"/>
      <c r="Z838" s="6" t="s">
        <v>48</v>
      </c>
      <c r="AA838" s="6" t="s">
        <v>111</v>
      </c>
      <c r="AB838" s="8" t="s">
        <v>860</v>
      </c>
    </row>
    <row r="839" spans="1:28" s="4" customFormat="1" ht="51.95" customHeight="1">
      <c r="A839" s="5">
        <v>0</v>
      </c>
      <c r="B839" s="6" t="s">
        <v>5495</v>
      </c>
      <c r="C839" s="7">
        <v>1294</v>
      </c>
      <c r="D839" s="8" t="s">
        <v>5496</v>
      </c>
      <c r="E839" s="8" t="s">
        <v>5497</v>
      </c>
      <c r="F839" s="8" t="s">
        <v>5498</v>
      </c>
      <c r="G839" s="6" t="s">
        <v>90</v>
      </c>
      <c r="H839" s="6" t="s">
        <v>54</v>
      </c>
      <c r="I839" s="8" t="s">
        <v>40</v>
      </c>
      <c r="J839" s="9">
        <v>1</v>
      </c>
      <c r="K839" s="9">
        <v>258</v>
      </c>
      <c r="L839" s="9">
        <v>2025</v>
      </c>
      <c r="M839" s="8" t="s">
        <v>5499</v>
      </c>
      <c r="N839" s="8" t="s">
        <v>1306</v>
      </c>
      <c r="O839" s="8" t="s">
        <v>1307</v>
      </c>
      <c r="P839" s="6" t="s">
        <v>44</v>
      </c>
      <c r="Q839" s="8" t="s">
        <v>45</v>
      </c>
      <c r="R839" s="10" t="s">
        <v>5500</v>
      </c>
      <c r="S839" s="11" t="s">
        <v>4967</v>
      </c>
      <c r="T839" s="6"/>
      <c r="U839" s="24" t="str">
        <f>HYPERLINK("https://media.infra-m.ru/2184/2184930/cover/2184930.jpg", "Обложка")</f>
        <v>Обложка</v>
      </c>
      <c r="V839" s="24" t="str">
        <f>HYPERLINK("https://znanium.ru/catalog/product/2184531", "Ознакомиться")</f>
        <v>Ознакомиться</v>
      </c>
      <c r="W839" s="8" t="s">
        <v>1560</v>
      </c>
      <c r="X839" s="6"/>
      <c r="Y839" s="6"/>
      <c r="Z839" s="6" t="s">
        <v>48</v>
      </c>
      <c r="AA839" s="6" t="s">
        <v>740</v>
      </c>
      <c r="AB839" s="8"/>
    </row>
    <row r="840" spans="1:28" s="4" customFormat="1" ht="51.95" customHeight="1">
      <c r="A840" s="5">
        <v>0</v>
      </c>
      <c r="B840" s="6" t="s">
        <v>5501</v>
      </c>
      <c r="C840" s="7">
        <v>1070</v>
      </c>
      <c r="D840" s="8" t="s">
        <v>5502</v>
      </c>
      <c r="E840" s="8" t="s">
        <v>5503</v>
      </c>
      <c r="F840" s="8" t="s">
        <v>5504</v>
      </c>
      <c r="G840" s="6" t="s">
        <v>90</v>
      </c>
      <c r="H840" s="6" t="s">
        <v>54</v>
      </c>
      <c r="I840" s="8" t="s">
        <v>40</v>
      </c>
      <c r="J840" s="9">
        <v>1</v>
      </c>
      <c r="K840" s="9">
        <v>216</v>
      </c>
      <c r="L840" s="9">
        <v>2024</v>
      </c>
      <c r="M840" s="8" t="s">
        <v>5505</v>
      </c>
      <c r="N840" s="8" t="s">
        <v>1306</v>
      </c>
      <c r="O840" s="8" t="s">
        <v>1307</v>
      </c>
      <c r="P840" s="6" t="s">
        <v>58</v>
      </c>
      <c r="Q840" s="8" t="s">
        <v>45</v>
      </c>
      <c r="R840" s="10" t="s">
        <v>5506</v>
      </c>
      <c r="S840" s="11" t="s">
        <v>2220</v>
      </c>
      <c r="T840" s="6"/>
      <c r="U840" s="24" t="str">
        <f>HYPERLINK("https://media.infra-m.ru/2170/2170393/cover/2170393.jpg", "Обложка")</f>
        <v>Обложка</v>
      </c>
      <c r="V840" s="24" t="str">
        <f>HYPERLINK("https://znanium.ru/catalog/product/2170393", "Ознакомиться")</f>
        <v>Ознакомиться</v>
      </c>
      <c r="W840" s="8" t="s">
        <v>1560</v>
      </c>
      <c r="X840" s="6"/>
      <c r="Y840" s="6"/>
      <c r="Z840" s="6" t="s">
        <v>48</v>
      </c>
      <c r="AA840" s="6" t="s">
        <v>111</v>
      </c>
      <c r="AB840" s="8" t="s">
        <v>401</v>
      </c>
    </row>
    <row r="841" spans="1:28" s="4" customFormat="1" ht="42" customHeight="1">
      <c r="A841" s="5">
        <v>0</v>
      </c>
      <c r="B841" s="6" t="s">
        <v>5507</v>
      </c>
      <c r="C841" s="7">
        <v>1920</v>
      </c>
      <c r="D841" s="8" t="s">
        <v>5508</v>
      </c>
      <c r="E841" s="8" t="s">
        <v>5509</v>
      </c>
      <c r="F841" s="8" t="s">
        <v>5510</v>
      </c>
      <c r="G841" s="6" t="s">
        <v>90</v>
      </c>
      <c r="H841" s="6" t="s">
        <v>54</v>
      </c>
      <c r="I841" s="8" t="s">
        <v>40</v>
      </c>
      <c r="J841" s="9">
        <v>1</v>
      </c>
      <c r="K841" s="9">
        <v>382</v>
      </c>
      <c r="L841" s="9">
        <v>2025</v>
      </c>
      <c r="M841" s="8" t="s">
        <v>5511</v>
      </c>
      <c r="N841" s="8" t="s">
        <v>1306</v>
      </c>
      <c r="O841" s="8" t="s">
        <v>1307</v>
      </c>
      <c r="P841" s="6" t="s">
        <v>58</v>
      </c>
      <c r="Q841" s="8" t="s">
        <v>45</v>
      </c>
      <c r="R841" s="10" t="s">
        <v>5512</v>
      </c>
      <c r="S841" s="11"/>
      <c r="T841" s="6"/>
      <c r="U841" s="24" t="str">
        <f>HYPERLINK("https://media.infra-m.ru/2168/2168926/cover/2168926.jpg", "Обложка")</f>
        <v>Обложка</v>
      </c>
      <c r="V841" s="24" t="str">
        <f>HYPERLINK("https://znanium.ru/catalog/product/2168926", "Ознакомиться")</f>
        <v>Ознакомиться</v>
      </c>
      <c r="W841" s="8" t="s">
        <v>1560</v>
      </c>
      <c r="X841" s="6" t="s">
        <v>367</v>
      </c>
      <c r="Y841" s="6"/>
      <c r="Z841" s="6" t="s">
        <v>207</v>
      </c>
      <c r="AA841" s="6" t="s">
        <v>84</v>
      </c>
      <c r="AB841" s="8"/>
    </row>
    <row r="842" spans="1:28" s="4" customFormat="1" ht="51.95" customHeight="1">
      <c r="A842" s="5">
        <v>0</v>
      </c>
      <c r="B842" s="6" t="s">
        <v>5513</v>
      </c>
      <c r="C842" s="13">
        <v>900</v>
      </c>
      <c r="D842" s="8" t="s">
        <v>5514</v>
      </c>
      <c r="E842" s="8" t="s">
        <v>5515</v>
      </c>
      <c r="F842" s="8" t="s">
        <v>5516</v>
      </c>
      <c r="G842" s="6" t="s">
        <v>90</v>
      </c>
      <c r="H842" s="6" t="s">
        <v>54</v>
      </c>
      <c r="I842" s="8" t="s">
        <v>40</v>
      </c>
      <c r="J842" s="9">
        <v>1</v>
      </c>
      <c r="K842" s="9">
        <v>160</v>
      </c>
      <c r="L842" s="9">
        <v>2026</v>
      </c>
      <c r="M842" s="8" t="s">
        <v>5517</v>
      </c>
      <c r="N842" s="8" t="s">
        <v>56</v>
      </c>
      <c r="O842" s="8" t="s">
        <v>343</v>
      </c>
      <c r="P842" s="6" t="s">
        <v>44</v>
      </c>
      <c r="Q842" s="8" t="s">
        <v>45</v>
      </c>
      <c r="R842" s="10" t="s">
        <v>5518</v>
      </c>
      <c r="S842" s="11" t="s">
        <v>5519</v>
      </c>
      <c r="T842" s="6"/>
      <c r="U842" s="24" t="str">
        <f>HYPERLINK("https://media.infra-m.ru/2215/2215353/cover/2215353.jpg", "Обложка")</f>
        <v>Обложка</v>
      </c>
      <c r="V842" s="24" t="str">
        <f>HYPERLINK("https://znanium.ru/catalog/product/2215353", "Ознакомиться")</f>
        <v>Ознакомиться</v>
      </c>
      <c r="W842" s="8" t="s">
        <v>1437</v>
      </c>
      <c r="X842" s="6"/>
      <c r="Y842" s="6"/>
      <c r="Z842" s="6" t="s">
        <v>48</v>
      </c>
      <c r="AA842" s="6" t="s">
        <v>500</v>
      </c>
      <c r="AB842" s="8"/>
    </row>
    <row r="843" spans="1:28" s="4" customFormat="1" ht="51.95" customHeight="1">
      <c r="A843" s="5">
        <v>0</v>
      </c>
      <c r="B843" s="6" t="s">
        <v>5520</v>
      </c>
      <c r="C843" s="7">
        <v>1780</v>
      </c>
      <c r="D843" s="8" t="s">
        <v>5521</v>
      </c>
      <c r="E843" s="8" t="s">
        <v>5522</v>
      </c>
      <c r="F843" s="8" t="s">
        <v>5523</v>
      </c>
      <c r="G843" s="6" t="s">
        <v>90</v>
      </c>
      <c r="H843" s="6" t="s">
        <v>54</v>
      </c>
      <c r="I843" s="8" t="s">
        <v>40</v>
      </c>
      <c r="J843" s="9">
        <v>1</v>
      </c>
      <c r="K843" s="9">
        <v>335</v>
      </c>
      <c r="L843" s="9">
        <v>2026</v>
      </c>
      <c r="M843" s="8" t="s">
        <v>5524</v>
      </c>
      <c r="N843" s="8" t="s">
        <v>1306</v>
      </c>
      <c r="O843" s="8" t="s">
        <v>1307</v>
      </c>
      <c r="P843" s="6" t="s">
        <v>58</v>
      </c>
      <c r="Q843" s="8" t="s">
        <v>45</v>
      </c>
      <c r="R843" s="10" t="s">
        <v>2079</v>
      </c>
      <c r="S843" s="11" t="s">
        <v>5525</v>
      </c>
      <c r="T843" s="6"/>
      <c r="U843" s="24" t="str">
        <f>HYPERLINK("https://media.infra-m.ru/2215/2215354/cover/2215354.jpg", "Обложка")</f>
        <v>Обложка</v>
      </c>
      <c r="V843" s="24" t="str">
        <f>HYPERLINK("https://znanium.ru/catalog/product/2215354", "Ознакомиться")</f>
        <v>Ознакомиться</v>
      </c>
      <c r="W843" s="8" t="s">
        <v>1560</v>
      </c>
      <c r="X843" s="6"/>
      <c r="Y843" s="6"/>
      <c r="Z843" s="6" t="s">
        <v>48</v>
      </c>
      <c r="AA843" s="6" t="s">
        <v>129</v>
      </c>
      <c r="AB843" s="8"/>
    </row>
    <row r="844" spans="1:28" s="4" customFormat="1" ht="51.95" customHeight="1">
      <c r="A844" s="5">
        <v>0</v>
      </c>
      <c r="B844" s="6" t="s">
        <v>5526</v>
      </c>
      <c r="C844" s="7">
        <v>2184</v>
      </c>
      <c r="D844" s="8" t="s">
        <v>5527</v>
      </c>
      <c r="E844" s="8" t="s">
        <v>5528</v>
      </c>
      <c r="F844" s="8" t="s">
        <v>5529</v>
      </c>
      <c r="G844" s="6" t="s">
        <v>38</v>
      </c>
      <c r="H844" s="6" t="s">
        <v>54</v>
      </c>
      <c r="I844" s="8" t="s">
        <v>40</v>
      </c>
      <c r="J844" s="9">
        <v>1</v>
      </c>
      <c r="K844" s="9">
        <v>421</v>
      </c>
      <c r="L844" s="9">
        <v>2026</v>
      </c>
      <c r="M844" s="8" t="s">
        <v>5530</v>
      </c>
      <c r="N844" s="8" t="s">
        <v>1306</v>
      </c>
      <c r="O844" s="8" t="s">
        <v>1307</v>
      </c>
      <c r="P844" s="6" t="s">
        <v>58</v>
      </c>
      <c r="Q844" s="8" t="s">
        <v>45</v>
      </c>
      <c r="R844" s="10" t="s">
        <v>1308</v>
      </c>
      <c r="S844" s="11" t="s">
        <v>5531</v>
      </c>
      <c r="T844" s="6"/>
      <c r="U844" s="24" t="str">
        <f>HYPERLINK("https://media.infra-m.ru/2216/2216827/cover/2216827.jpg", "Обложка")</f>
        <v>Обложка</v>
      </c>
      <c r="V844" s="24" t="str">
        <f>HYPERLINK("https://znanium.ru/catalog/product/2215355", "Ознакомиться")</f>
        <v>Ознакомиться</v>
      </c>
      <c r="W844" s="8" t="s">
        <v>5532</v>
      </c>
      <c r="X844" s="6"/>
      <c r="Y844" s="6"/>
      <c r="Z844" s="6" t="s">
        <v>48</v>
      </c>
      <c r="AA844" s="6" t="s">
        <v>223</v>
      </c>
      <c r="AB844" s="8"/>
    </row>
    <row r="845" spans="1:28" s="4" customFormat="1" ht="51.95" customHeight="1">
      <c r="A845" s="5">
        <v>0</v>
      </c>
      <c r="B845" s="6" t="s">
        <v>5533</v>
      </c>
      <c r="C845" s="7">
        <v>1580</v>
      </c>
      <c r="D845" s="8" t="s">
        <v>5534</v>
      </c>
      <c r="E845" s="8" t="s">
        <v>5528</v>
      </c>
      <c r="F845" s="8" t="s">
        <v>5535</v>
      </c>
      <c r="G845" s="6" t="s">
        <v>90</v>
      </c>
      <c r="H845" s="6" t="s">
        <v>68</v>
      </c>
      <c r="I845" s="8" t="s">
        <v>69</v>
      </c>
      <c r="J845" s="9">
        <v>1</v>
      </c>
      <c r="K845" s="9">
        <v>303</v>
      </c>
      <c r="L845" s="9">
        <v>2025</v>
      </c>
      <c r="M845" s="8" t="s">
        <v>5536</v>
      </c>
      <c r="N845" s="8" t="s">
        <v>1306</v>
      </c>
      <c r="O845" s="8" t="s">
        <v>1307</v>
      </c>
      <c r="P845" s="6" t="s">
        <v>44</v>
      </c>
      <c r="Q845" s="8" t="s">
        <v>45</v>
      </c>
      <c r="R845" s="10" t="s">
        <v>5537</v>
      </c>
      <c r="S845" s="11"/>
      <c r="T845" s="6"/>
      <c r="U845" s="24" t="str">
        <f>HYPERLINK("https://media.infra-m.ru/2208/2208979/cover/2208979.jpg", "Обложка")</f>
        <v>Обложка</v>
      </c>
      <c r="V845" s="24" t="str">
        <f>HYPERLINK("https://znanium.ru/catalog/product/1960119", "Ознакомиться")</f>
        <v>Ознакомиться</v>
      </c>
      <c r="W845" s="8" t="s">
        <v>3749</v>
      </c>
      <c r="X845" s="6"/>
      <c r="Y845" s="6" t="s">
        <v>30</v>
      </c>
      <c r="Z845" s="6" t="s">
        <v>48</v>
      </c>
      <c r="AA845" s="6" t="s">
        <v>740</v>
      </c>
      <c r="AB845" s="8"/>
    </row>
    <row r="846" spans="1:28" s="4" customFormat="1" ht="42" customHeight="1">
      <c r="A846" s="5">
        <v>0</v>
      </c>
      <c r="B846" s="6" t="s">
        <v>5538</v>
      </c>
      <c r="C846" s="7">
        <v>1310</v>
      </c>
      <c r="D846" s="8" t="s">
        <v>5539</v>
      </c>
      <c r="E846" s="8" t="s">
        <v>5540</v>
      </c>
      <c r="F846" s="8" t="s">
        <v>5541</v>
      </c>
      <c r="G846" s="6" t="s">
        <v>90</v>
      </c>
      <c r="H846" s="6" t="s">
        <v>54</v>
      </c>
      <c r="I846" s="8" t="s">
        <v>40</v>
      </c>
      <c r="J846" s="9">
        <v>1</v>
      </c>
      <c r="K846" s="9">
        <v>261</v>
      </c>
      <c r="L846" s="9">
        <v>2025</v>
      </c>
      <c r="M846" s="8" t="s">
        <v>5542</v>
      </c>
      <c r="N846" s="8" t="s">
        <v>1306</v>
      </c>
      <c r="O846" s="8" t="s">
        <v>1307</v>
      </c>
      <c r="P846" s="6" t="s">
        <v>1285</v>
      </c>
      <c r="Q846" s="8" t="s">
        <v>45</v>
      </c>
      <c r="R846" s="10" t="s">
        <v>5543</v>
      </c>
      <c r="S846" s="11"/>
      <c r="T846" s="6"/>
      <c r="U846" s="24" t="str">
        <f>HYPERLINK("https://media.infra-m.ru/2169/2169216/cover/2169216.jpg", "Обложка")</f>
        <v>Обложка</v>
      </c>
      <c r="V846" s="24" t="str">
        <f>HYPERLINK("https://znanium.ru/catalog/product/2169216", "Ознакомиться")</f>
        <v>Ознакомиться</v>
      </c>
      <c r="W846" s="8" t="s">
        <v>5544</v>
      </c>
      <c r="X846" s="6"/>
      <c r="Y846" s="6"/>
      <c r="Z846" s="6"/>
      <c r="AA846" s="6" t="s">
        <v>354</v>
      </c>
      <c r="AB846" s="8"/>
    </row>
    <row r="847" spans="1:28" s="4" customFormat="1" ht="51.95" customHeight="1">
      <c r="A847" s="5">
        <v>0</v>
      </c>
      <c r="B847" s="6" t="s">
        <v>5545</v>
      </c>
      <c r="C847" s="7">
        <v>1940</v>
      </c>
      <c r="D847" s="8" t="s">
        <v>5546</v>
      </c>
      <c r="E847" s="8" t="s">
        <v>5547</v>
      </c>
      <c r="F847" s="8" t="s">
        <v>3062</v>
      </c>
      <c r="G847" s="6" t="s">
        <v>90</v>
      </c>
      <c r="H847" s="6" t="s">
        <v>39</v>
      </c>
      <c r="I847" s="8" t="s">
        <v>69</v>
      </c>
      <c r="J847" s="9">
        <v>1</v>
      </c>
      <c r="K847" s="9">
        <v>288</v>
      </c>
      <c r="L847" s="9">
        <v>2025</v>
      </c>
      <c r="M847" s="8" t="s">
        <v>5548</v>
      </c>
      <c r="N847" s="8" t="s">
        <v>42</v>
      </c>
      <c r="O847" s="8" t="s">
        <v>553</v>
      </c>
      <c r="P847" s="6" t="s">
        <v>44</v>
      </c>
      <c r="Q847" s="8" t="s">
        <v>45</v>
      </c>
      <c r="R847" s="10" t="s">
        <v>5549</v>
      </c>
      <c r="S847" s="11" t="s">
        <v>3065</v>
      </c>
      <c r="T847" s="6"/>
      <c r="U847" s="24" t="str">
        <f>HYPERLINK("https://media.infra-m.ru/2170/2170984/cover/2170984.jpg", "Обложка")</f>
        <v>Обложка</v>
      </c>
      <c r="V847" s="24" t="str">
        <f>HYPERLINK("https://znanium.ru/catalog/product/2170984", "Ознакомиться")</f>
        <v>Ознакомиться</v>
      </c>
      <c r="W847" s="8" t="s">
        <v>3066</v>
      </c>
      <c r="X847" s="6"/>
      <c r="Y847" s="6"/>
      <c r="Z847" s="6"/>
      <c r="AA847" s="6" t="s">
        <v>696</v>
      </c>
      <c r="AB847" s="8"/>
    </row>
    <row r="848" spans="1:28" s="4" customFormat="1" ht="51.95" customHeight="1">
      <c r="A848" s="5">
        <v>0</v>
      </c>
      <c r="B848" s="6" t="s">
        <v>5550</v>
      </c>
      <c r="C848" s="7">
        <v>1794</v>
      </c>
      <c r="D848" s="8" t="s">
        <v>5551</v>
      </c>
      <c r="E848" s="8" t="s">
        <v>5552</v>
      </c>
      <c r="F848" s="8" t="s">
        <v>5553</v>
      </c>
      <c r="G848" s="6" t="s">
        <v>90</v>
      </c>
      <c r="H848" s="6" t="s">
        <v>54</v>
      </c>
      <c r="I848" s="8" t="s">
        <v>40</v>
      </c>
      <c r="J848" s="9">
        <v>1</v>
      </c>
      <c r="K848" s="9">
        <v>345</v>
      </c>
      <c r="L848" s="9">
        <v>2026</v>
      </c>
      <c r="M848" s="8" t="s">
        <v>5554</v>
      </c>
      <c r="N848" s="8" t="s">
        <v>125</v>
      </c>
      <c r="O848" s="8" t="s">
        <v>432</v>
      </c>
      <c r="P848" s="6" t="s">
        <v>58</v>
      </c>
      <c r="Q848" s="8" t="s">
        <v>45</v>
      </c>
      <c r="R848" s="10" t="s">
        <v>5555</v>
      </c>
      <c r="S848" s="11" t="s">
        <v>5556</v>
      </c>
      <c r="T848" s="6"/>
      <c r="U848" s="24" t="str">
        <f>HYPERLINK("https://media.infra-m.ru/2221/2221933/cover/2221933.jpg", "Обложка")</f>
        <v>Обложка</v>
      </c>
      <c r="V848" s="24" t="str">
        <f>HYPERLINK("https://znanium.ru/catalog/product/2179098", "Ознакомиться")</f>
        <v>Ознакомиться</v>
      </c>
      <c r="W848" s="8" t="s">
        <v>2180</v>
      </c>
      <c r="X848" s="6"/>
      <c r="Y848" s="6"/>
      <c r="Z848" s="6" t="s">
        <v>48</v>
      </c>
      <c r="AA848" s="6" t="s">
        <v>500</v>
      </c>
      <c r="AB848" s="8"/>
    </row>
    <row r="849" spans="1:28" s="4" customFormat="1" ht="42" customHeight="1">
      <c r="A849" s="5">
        <v>0</v>
      </c>
      <c r="B849" s="6" t="s">
        <v>5557</v>
      </c>
      <c r="C849" s="7">
        <v>2050</v>
      </c>
      <c r="D849" s="8" t="s">
        <v>5558</v>
      </c>
      <c r="E849" s="8" t="s">
        <v>5559</v>
      </c>
      <c r="F849" s="8" t="s">
        <v>5560</v>
      </c>
      <c r="G849" s="6" t="s">
        <v>38</v>
      </c>
      <c r="H849" s="6" t="s">
        <v>54</v>
      </c>
      <c r="I849" s="8" t="s">
        <v>40</v>
      </c>
      <c r="J849" s="9">
        <v>1</v>
      </c>
      <c r="K849" s="9">
        <v>404</v>
      </c>
      <c r="L849" s="9">
        <v>2025</v>
      </c>
      <c r="M849" s="8" t="s">
        <v>5561</v>
      </c>
      <c r="N849" s="8" t="s">
        <v>42</v>
      </c>
      <c r="O849" s="8" t="s">
        <v>319</v>
      </c>
      <c r="P849" s="6" t="s">
        <v>44</v>
      </c>
      <c r="Q849" s="8" t="s">
        <v>45</v>
      </c>
      <c r="R849" s="10" t="s">
        <v>4051</v>
      </c>
      <c r="S849" s="11"/>
      <c r="T849" s="6"/>
      <c r="U849" s="24" t="str">
        <f>HYPERLINK("https://media.infra-m.ru/2169/2169777/cover/2169777.jpg", "Обложка")</f>
        <v>Обложка</v>
      </c>
      <c r="V849" s="24" t="str">
        <f>HYPERLINK("https://znanium.ru/catalog/product/2169777", "Ознакомиться")</f>
        <v>Ознакомиться</v>
      </c>
      <c r="W849" s="8" t="s">
        <v>293</v>
      </c>
      <c r="X849" s="6" t="s">
        <v>367</v>
      </c>
      <c r="Y849" s="6"/>
      <c r="Z849" s="6" t="s">
        <v>48</v>
      </c>
      <c r="AA849" s="6" t="s">
        <v>84</v>
      </c>
      <c r="AB849" s="8"/>
    </row>
    <row r="850" spans="1:28" s="4" customFormat="1" ht="51.95" customHeight="1">
      <c r="A850" s="5">
        <v>0</v>
      </c>
      <c r="B850" s="6" t="s">
        <v>5562</v>
      </c>
      <c r="C850" s="7">
        <v>1994</v>
      </c>
      <c r="D850" s="8" t="s">
        <v>5563</v>
      </c>
      <c r="E850" s="8" t="s">
        <v>5564</v>
      </c>
      <c r="F850" s="8" t="s">
        <v>2278</v>
      </c>
      <c r="G850" s="6" t="s">
        <v>38</v>
      </c>
      <c r="H850" s="6" t="s">
        <v>39</v>
      </c>
      <c r="I850" s="8" t="s">
        <v>69</v>
      </c>
      <c r="J850" s="9">
        <v>1</v>
      </c>
      <c r="K850" s="9">
        <v>432</v>
      </c>
      <c r="L850" s="9">
        <v>2024</v>
      </c>
      <c r="M850" s="8" t="s">
        <v>5565</v>
      </c>
      <c r="N850" s="8" t="s">
        <v>42</v>
      </c>
      <c r="O850" s="8" t="s">
        <v>43</v>
      </c>
      <c r="P850" s="6" t="s">
        <v>44</v>
      </c>
      <c r="Q850" s="8" t="s">
        <v>45</v>
      </c>
      <c r="R850" s="10" t="s">
        <v>5566</v>
      </c>
      <c r="S850" s="11" t="s">
        <v>1100</v>
      </c>
      <c r="T850" s="6"/>
      <c r="U850" s="24" t="str">
        <f>HYPERLINK("https://media.infra-m.ru/2117/2117629/cover/2117629.jpg", "Обложка")</f>
        <v>Обложка</v>
      </c>
      <c r="V850" s="24" t="str">
        <f>HYPERLINK("https://znanium.ru/catalog/product/1778076", "Ознакомиться")</f>
        <v>Ознакомиться</v>
      </c>
      <c r="W850" s="8" t="s">
        <v>94</v>
      </c>
      <c r="X850" s="6"/>
      <c r="Y850" s="6"/>
      <c r="Z850" s="6"/>
      <c r="AA850" s="6" t="s">
        <v>1518</v>
      </c>
      <c r="AB850" s="8"/>
    </row>
    <row r="851" spans="1:28" s="4" customFormat="1" ht="51.95" customHeight="1">
      <c r="A851" s="5">
        <v>0</v>
      </c>
      <c r="B851" s="6" t="s">
        <v>5567</v>
      </c>
      <c r="C851" s="13">
        <v>800</v>
      </c>
      <c r="D851" s="8" t="s">
        <v>5568</v>
      </c>
      <c r="E851" s="8" t="s">
        <v>5569</v>
      </c>
      <c r="F851" s="8" t="s">
        <v>5570</v>
      </c>
      <c r="G851" s="6" t="s">
        <v>67</v>
      </c>
      <c r="H851" s="6" t="s">
        <v>54</v>
      </c>
      <c r="I851" s="8" t="s">
        <v>40</v>
      </c>
      <c r="J851" s="9">
        <v>1</v>
      </c>
      <c r="K851" s="9">
        <v>112</v>
      </c>
      <c r="L851" s="9">
        <v>2026</v>
      </c>
      <c r="M851" s="8" t="s">
        <v>5571</v>
      </c>
      <c r="N851" s="8" t="s">
        <v>56</v>
      </c>
      <c r="O851" s="8" t="s">
        <v>807</v>
      </c>
      <c r="P851" s="6" t="s">
        <v>44</v>
      </c>
      <c r="Q851" s="8" t="s">
        <v>45</v>
      </c>
      <c r="R851" s="10" t="s">
        <v>5572</v>
      </c>
      <c r="S851" s="11" t="s">
        <v>5573</v>
      </c>
      <c r="T851" s="6"/>
      <c r="U851" s="24" t="str">
        <f>HYPERLINK("https://media.infra-m.ru/2225/2225026/cover/2225026.jpg", "Обложка")</f>
        <v>Обложка</v>
      </c>
      <c r="V851" s="24" t="str">
        <f>HYPERLINK("https://znanium.ru/catalog/product/2225026", "Ознакомиться")</f>
        <v>Ознакомиться</v>
      </c>
      <c r="W851" s="8" t="s">
        <v>5574</v>
      </c>
      <c r="X851" s="6"/>
      <c r="Y851" s="6"/>
      <c r="Z851" s="6"/>
      <c r="AA851" s="6" t="s">
        <v>443</v>
      </c>
      <c r="AB851" s="8" t="s">
        <v>860</v>
      </c>
    </row>
    <row r="852" spans="1:28" s="4" customFormat="1" ht="51.95" customHeight="1">
      <c r="A852" s="5">
        <v>0</v>
      </c>
      <c r="B852" s="6" t="s">
        <v>5575</v>
      </c>
      <c r="C852" s="13">
        <v>500</v>
      </c>
      <c r="D852" s="8" t="s">
        <v>5576</v>
      </c>
      <c r="E852" s="8" t="s">
        <v>5577</v>
      </c>
      <c r="F852" s="8" t="s">
        <v>5570</v>
      </c>
      <c r="G852" s="6" t="s">
        <v>67</v>
      </c>
      <c r="H852" s="6" t="s">
        <v>39</v>
      </c>
      <c r="I852" s="8" t="s">
        <v>40</v>
      </c>
      <c r="J852" s="9">
        <v>1</v>
      </c>
      <c r="K852" s="9">
        <v>112</v>
      </c>
      <c r="L852" s="9">
        <v>2018</v>
      </c>
      <c r="M852" s="8" t="s">
        <v>5578</v>
      </c>
      <c r="N852" s="8" t="s">
        <v>56</v>
      </c>
      <c r="O852" s="8" t="s">
        <v>807</v>
      </c>
      <c r="P852" s="6" t="s">
        <v>44</v>
      </c>
      <c r="Q852" s="8" t="s">
        <v>45</v>
      </c>
      <c r="R852" s="10" t="s">
        <v>5572</v>
      </c>
      <c r="S852" s="11" t="s">
        <v>5579</v>
      </c>
      <c r="T852" s="6"/>
      <c r="U852" s="24" t="str">
        <f>HYPERLINK("https://media.infra-m.ru/0958/0958278/cover/958278.jpg", "Обложка")</f>
        <v>Обложка</v>
      </c>
      <c r="V852" s="24" t="str">
        <f>HYPERLINK("https://znanium.ru/catalog/product/2225026", "Ознакомиться")</f>
        <v>Ознакомиться</v>
      </c>
      <c r="W852" s="8" t="s">
        <v>5574</v>
      </c>
      <c r="X852" s="6"/>
      <c r="Y852" s="6"/>
      <c r="Z852" s="6"/>
      <c r="AA852" s="6" t="s">
        <v>261</v>
      </c>
      <c r="AB852" s="8" t="s">
        <v>860</v>
      </c>
    </row>
    <row r="853" spans="1:28" s="4" customFormat="1" ht="42" customHeight="1">
      <c r="A853" s="5">
        <v>0</v>
      </c>
      <c r="B853" s="6" t="s">
        <v>5580</v>
      </c>
      <c r="C853" s="13">
        <v>460</v>
      </c>
      <c r="D853" s="8" t="s">
        <v>5581</v>
      </c>
      <c r="E853" s="8" t="s">
        <v>5582</v>
      </c>
      <c r="F853" s="8" t="s">
        <v>5583</v>
      </c>
      <c r="G853" s="6" t="s">
        <v>67</v>
      </c>
      <c r="H853" s="6" t="s">
        <v>39</v>
      </c>
      <c r="I853" s="8" t="s">
        <v>40</v>
      </c>
      <c r="J853" s="9">
        <v>1</v>
      </c>
      <c r="K853" s="9">
        <v>72</v>
      </c>
      <c r="L853" s="9">
        <v>2024</v>
      </c>
      <c r="M853" s="8" t="s">
        <v>5584</v>
      </c>
      <c r="N853" s="8" t="s">
        <v>56</v>
      </c>
      <c r="O853" s="8" t="s">
        <v>57</v>
      </c>
      <c r="P853" s="6" t="s">
        <v>44</v>
      </c>
      <c r="Q853" s="8" t="s">
        <v>45</v>
      </c>
      <c r="R853" s="10" t="s">
        <v>5585</v>
      </c>
      <c r="S853" s="11"/>
      <c r="T853" s="6"/>
      <c r="U853" s="24" t="str">
        <f>HYPERLINK("https://media.infra-m.ru/1920/1920367/cover/1920367.jpg", "Обложка")</f>
        <v>Обложка</v>
      </c>
      <c r="V853" s="24" t="str">
        <f>HYPERLINK("https://znanium.ru/catalog/product/1920367", "Ознакомиться")</f>
        <v>Ознакомиться</v>
      </c>
      <c r="W853" s="8" t="s">
        <v>5080</v>
      </c>
      <c r="X853" s="6"/>
      <c r="Y853" s="6"/>
      <c r="Z853" s="6" t="s">
        <v>207</v>
      </c>
      <c r="AA853" s="6" t="s">
        <v>354</v>
      </c>
      <c r="AB853" s="8"/>
    </row>
    <row r="854" spans="1:28" s="4" customFormat="1" ht="51.95" customHeight="1">
      <c r="A854" s="5">
        <v>0</v>
      </c>
      <c r="B854" s="6" t="s">
        <v>5586</v>
      </c>
      <c r="C854" s="13">
        <v>820</v>
      </c>
      <c r="D854" s="8" t="s">
        <v>5587</v>
      </c>
      <c r="E854" s="8" t="s">
        <v>5588</v>
      </c>
      <c r="F854" s="8" t="s">
        <v>5589</v>
      </c>
      <c r="G854" s="6" t="s">
        <v>90</v>
      </c>
      <c r="H854" s="6" t="s">
        <v>54</v>
      </c>
      <c r="I854" s="8" t="s">
        <v>40</v>
      </c>
      <c r="J854" s="9">
        <v>1</v>
      </c>
      <c r="K854" s="9">
        <v>163</v>
      </c>
      <c r="L854" s="9">
        <v>2025</v>
      </c>
      <c r="M854" s="8" t="s">
        <v>5590</v>
      </c>
      <c r="N854" s="8" t="s">
        <v>42</v>
      </c>
      <c r="O854" s="8" t="s">
        <v>169</v>
      </c>
      <c r="P854" s="6" t="s">
        <v>44</v>
      </c>
      <c r="Q854" s="8" t="s">
        <v>45</v>
      </c>
      <c r="R854" s="10" t="s">
        <v>5591</v>
      </c>
      <c r="S854" s="11" t="s">
        <v>5592</v>
      </c>
      <c r="T854" s="6"/>
      <c r="U854" s="24" t="str">
        <f>HYPERLINK("https://media.infra-m.ru/2163/2163207/cover/2163207.jpg", "Обложка")</f>
        <v>Обложка</v>
      </c>
      <c r="V854" s="24" t="str">
        <f>HYPERLINK("https://znanium.ru/catalog/product/2163207", "Ознакомиться")</f>
        <v>Ознакомиться</v>
      </c>
      <c r="W854" s="8" t="s">
        <v>1624</v>
      </c>
      <c r="X854" s="6"/>
      <c r="Y854" s="6"/>
      <c r="Z854" s="6" t="s">
        <v>48</v>
      </c>
      <c r="AA854" s="6" t="s">
        <v>223</v>
      </c>
      <c r="AB854" s="8"/>
    </row>
    <row r="855" spans="1:28" s="4" customFormat="1" ht="51.95" customHeight="1">
      <c r="A855" s="5">
        <v>0</v>
      </c>
      <c r="B855" s="6" t="s">
        <v>5593</v>
      </c>
      <c r="C855" s="7">
        <v>1654</v>
      </c>
      <c r="D855" s="8" t="s">
        <v>5594</v>
      </c>
      <c r="E855" s="8" t="s">
        <v>5595</v>
      </c>
      <c r="F855" s="8" t="s">
        <v>5596</v>
      </c>
      <c r="G855" s="6" t="s">
        <v>90</v>
      </c>
      <c r="H855" s="6" t="s">
        <v>54</v>
      </c>
      <c r="I855" s="8" t="s">
        <v>40</v>
      </c>
      <c r="J855" s="9">
        <v>1</v>
      </c>
      <c r="K855" s="9">
        <v>318</v>
      </c>
      <c r="L855" s="9">
        <v>2026</v>
      </c>
      <c r="M855" s="8" t="s">
        <v>5597</v>
      </c>
      <c r="N855" s="8" t="s">
        <v>42</v>
      </c>
      <c r="O855" s="8" t="s">
        <v>169</v>
      </c>
      <c r="P855" s="6" t="s">
        <v>58</v>
      </c>
      <c r="Q855" s="8" t="s">
        <v>45</v>
      </c>
      <c r="R855" s="10" t="s">
        <v>5598</v>
      </c>
      <c r="S855" s="11" t="s">
        <v>5599</v>
      </c>
      <c r="T855" s="6" t="s">
        <v>118</v>
      </c>
      <c r="U855" s="24" t="str">
        <f>HYPERLINK("https://media.infra-m.ru/2214/2214858/cover/2214858.jpg", "Обложка")</f>
        <v>Обложка</v>
      </c>
      <c r="V855" s="24" t="str">
        <f>HYPERLINK("https://znanium.ru/catalog/product/2213021", "Ознакомиться")</f>
        <v>Ознакомиться</v>
      </c>
      <c r="W855" s="8" t="s">
        <v>5600</v>
      </c>
      <c r="X855" s="6"/>
      <c r="Y855" s="6"/>
      <c r="Z855" s="6" t="s">
        <v>48</v>
      </c>
      <c r="AA855" s="6" t="s">
        <v>500</v>
      </c>
      <c r="AB855" s="8"/>
    </row>
    <row r="856" spans="1:28" s="4" customFormat="1" ht="51.95" customHeight="1">
      <c r="A856" s="5">
        <v>0</v>
      </c>
      <c r="B856" s="6" t="s">
        <v>5601</v>
      </c>
      <c r="C856" s="7">
        <v>1380</v>
      </c>
      <c r="D856" s="8" t="s">
        <v>5602</v>
      </c>
      <c r="E856" s="8" t="s">
        <v>5603</v>
      </c>
      <c r="F856" s="8" t="s">
        <v>5604</v>
      </c>
      <c r="G856" s="6" t="s">
        <v>90</v>
      </c>
      <c r="H856" s="6" t="s">
        <v>54</v>
      </c>
      <c r="I856" s="8" t="s">
        <v>40</v>
      </c>
      <c r="J856" s="9">
        <v>1</v>
      </c>
      <c r="K856" s="9">
        <v>290</v>
      </c>
      <c r="L856" s="9">
        <v>2024</v>
      </c>
      <c r="M856" s="8" t="s">
        <v>5605</v>
      </c>
      <c r="N856" s="8" t="s">
        <v>1456</v>
      </c>
      <c r="O856" s="8" t="s">
        <v>1457</v>
      </c>
      <c r="P856" s="6" t="s">
        <v>58</v>
      </c>
      <c r="Q856" s="8" t="s">
        <v>45</v>
      </c>
      <c r="R856" s="10" t="s">
        <v>5606</v>
      </c>
      <c r="S856" s="11" t="s">
        <v>5607</v>
      </c>
      <c r="T856" s="6"/>
      <c r="U856" s="24" t="str">
        <f>HYPERLINK("https://media.infra-m.ru/2151/2151176/cover/2151176.jpg", "Обложка")</f>
        <v>Обложка</v>
      </c>
      <c r="V856" s="24" t="str">
        <f>HYPERLINK("https://znanium.ru/catalog/product/2151176", "Ознакомиться")</f>
        <v>Ознакомиться</v>
      </c>
      <c r="W856" s="8" t="s">
        <v>5608</v>
      </c>
      <c r="X856" s="6"/>
      <c r="Y856" s="6"/>
      <c r="Z856" s="6" t="s">
        <v>48</v>
      </c>
      <c r="AA856" s="6" t="s">
        <v>354</v>
      </c>
      <c r="AB856" s="8"/>
    </row>
    <row r="857" spans="1:28" s="4" customFormat="1" ht="51.95" customHeight="1">
      <c r="A857" s="5">
        <v>0</v>
      </c>
      <c r="B857" s="6" t="s">
        <v>5609</v>
      </c>
      <c r="C857" s="7">
        <v>1280</v>
      </c>
      <c r="D857" s="8" t="s">
        <v>5610</v>
      </c>
      <c r="E857" s="8" t="s">
        <v>5611</v>
      </c>
      <c r="F857" s="8" t="s">
        <v>5612</v>
      </c>
      <c r="G857" s="6" t="s">
        <v>90</v>
      </c>
      <c r="H857" s="6" t="s">
        <v>54</v>
      </c>
      <c r="I857" s="8" t="s">
        <v>40</v>
      </c>
      <c r="J857" s="9">
        <v>1</v>
      </c>
      <c r="K857" s="9">
        <v>240</v>
      </c>
      <c r="L857" s="9">
        <v>2025</v>
      </c>
      <c r="M857" s="8" t="s">
        <v>5613</v>
      </c>
      <c r="N857" s="8" t="s">
        <v>125</v>
      </c>
      <c r="O857" s="8" t="s">
        <v>432</v>
      </c>
      <c r="P857" s="6" t="s">
        <v>44</v>
      </c>
      <c r="Q857" s="8" t="s">
        <v>45</v>
      </c>
      <c r="R857" s="10" t="s">
        <v>5614</v>
      </c>
      <c r="S857" s="11" t="s">
        <v>5615</v>
      </c>
      <c r="T857" s="6"/>
      <c r="U857" s="24" t="str">
        <f>HYPERLINK("https://media.infra-m.ru/2209/2209133/cover/2209133.jpg", "Обложка")</f>
        <v>Обложка</v>
      </c>
      <c r="V857" s="24" t="str">
        <f>HYPERLINK("https://znanium.ru/catalog/product/2209133", "Ознакомиться")</f>
        <v>Ознакомиться</v>
      </c>
      <c r="W857" s="8" t="s">
        <v>2639</v>
      </c>
      <c r="X857" s="6"/>
      <c r="Y857" s="6"/>
      <c r="Z857" s="6" t="s">
        <v>48</v>
      </c>
      <c r="AA857" s="6" t="s">
        <v>443</v>
      </c>
      <c r="AB857" s="8"/>
    </row>
    <row r="858" spans="1:28" s="4" customFormat="1" ht="51.95" customHeight="1">
      <c r="A858" s="5">
        <v>0</v>
      </c>
      <c r="B858" s="6" t="s">
        <v>5616</v>
      </c>
      <c r="C858" s="7">
        <v>2420</v>
      </c>
      <c r="D858" s="8" t="s">
        <v>5617</v>
      </c>
      <c r="E858" s="8" t="s">
        <v>5618</v>
      </c>
      <c r="F858" s="8" t="s">
        <v>2245</v>
      </c>
      <c r="G858" s="6" t="s">
        <v>38</v>
      </c>
      <c r="H858" s="6" t="s">
        <v>54</v>
      </c>
      <c r="I858" s="8" t="s">
        <v>40</v>
      </c>
      <c r="J858" s="9">
        <v>1</v>
      </c>
      <c r="K858" s="9">
        <v>484</v>
      </c>
      <c r="L858" s="9">
        <v>2025</v>
      </c>
      <c r="M858" s="8" t="s">
        <v>5619</v>
      </c>
      <c r="N858" s="8" t="s">
        <v>125</v>
      </c>
      <c r="O858" s="8" t="s">
        <v>1630</v>
      </c>
      <c r="P858" s="6" t="s">
        <v>44</v>
      </c>
      <c r="Q858" s="8" t="s">
        <v>45</v>
      </c>
      <c r="R858" s="10" t="s">
        <v>5620</v>
      </c>
      <c r="S858" s="11"/>
      <c r="T858" s="6"/>
      <c r="U858" s="24" t="str">
        <f>HYPERLINK("https://media.infra-m.ru/2092/2092351/cover/2092351.jpg", "Обложка")</f>
        <v>Обложка</v>
      </c>
      <c r="V858" s="24" t="str">
        <f>HYPERLINK("https://znanium.ru/catalog/product/2092351", "Ознакомиться")</f>
        <v>Ознакомиться</v>
      </c>
      <c r="W858" s="8" t="s">
        <v>180</v>
      </c>
      <c r="X858" s="6" t="s">
        <v>367</v>
      </c>
      <c r="Y858" s="6"/>
      <c r="Z858" s="6"/>
      <c r="AA858" s="6" t="s">
        <v>84</v>
      </c>
      <c r="AB858" s="8"/>
    </row>
    <row r="859" spans="1:28" s="4" customFormat="1" ht="51.95" customHeight="1">
      <c r="A859" s="5">
        <v>0</v>
      </c>
      <c r="B859" s="6" t="s">
        <v>5621</v>
      </c>
      <c r="C859" s="13">
        <v>960</v>
      </c>
      <c r="D859" s="8" t="s">
        <v>5622</v>
      </c>
      <c r="E859" s="8" t="s">
        <v>5623</v>
      </c>
      <c r="F859" s="8" t="s">
        <v>5624</v>
      </c>
      <c r="G859" s="6" t="s">
        <v>90</v>
      </c>
      <c r="H859" s="6" t="s">
        <v>54</v>
      </c>
      <c r="I859" s="8" t="s">
        <v>40</v>
      </c>
      <c r="J859" s="9">
        <v>1</v>
      </c>
      <c r="K859" s="9">
        <v>185</v>
      </c>
      <c r="L859" s="9">
        <v>2025</v>
      </c>
      <c r="M859" s="8" t="s">
        <v>5625</v>
      </c>
      <c r="N859" s="8" t="s">
        <v>125</v>
      </c>
      <c r="O859" s="8" t="s">
        <v>352</v>
      </c>
      <c r="P859" s="6" t="s">
        <v>44</v>
      </c>
      <c r="Q859" s="8" t="s">
        <v>45</v>
      </c>
      <c r="R859" s="10" t="s">
        <v>2884</v>
      </c>
      <c r="S859" s="11" t="s">
        <v>5626</v>
      </c>
      <c r="T859" s="6"/>
      <c r="U859" s="24" t="str">
        <f>HYPERLINK("https://media.infra-m.ru/2143/2143935/cover/2143935.jpg", "Обложка")</f>
        <v>Обложка</v>
      </c>
      <c r="V859" s="24" t="str">
        <f>HYPERLINK("https://znanium.ru/catalog/product/2143935", "Ознакомиться")</f>
        <v>Ознакомиться</v>
      </c>
      <c r="W859" s="8" t="s">
        <v>5627</v>
      </c>
      <c r="X859" s="6"/>
      <c r="Y859" s="6"/>
      <c r="Z859" s="6" t="s">
        <v>929</v>
      </c>
      <c r="AA859" s="6" t="s">
        <v>500</v>
      </c>
      <c r="AB859" s="8"/>
    </row>
    <row r="860" spans="1:28" s="4" customFormat="1" ht="51.95" customHeight="1">
      <c r="A860" s="5">
        <v>0</v>
      </c>
      <c r="B860" s="6" t="s">
        <v>5628</v>
      </c>
      <c r="C860" s="13">
        <v>393</v>
      </c>
      <c r="D860" s="8" t="s">
        <v>5629</v>
      </c>
      <c r="E860" s="8" t="s">
        <v>5630</v>
      </c>
      <c r="F860" s="8" t="s">
        <v>2838</v>
      </c>
      <c r="G860" s="6" t="s">
        <v>67</v>
      </c>
      <c r="H860" s="6" t="s">
        <v>68</v>
      </c>
      <c r="I860" s="8"/>
      <c r="J860" s="9">
        <v>1</v>
      </c>
      <c r="K860" s="9">
        <v>98</v>
      </c>
      <c r="L860" s="9">
        <v>2025</v>
      </c>
      <c r="M860" s="8" t="s">
        <v>5631</v>
      </c>
      <c r="N860" s="8" t="s">
        <v>56</v>
      </c>
      <c r="O860" s="8" t="s">
        <v>57</v>
      </c>
      <c r="P860" s="6" t="s">
        <v>153</v>
      </c>
      <c r="Q860" s="8" t="s">
        <v>45</v>
      </c>
      <c r="R860" s="10" t="s">
        <v>5632</v>
      </c>
      <c r="S860" s="11"/>
      <c r="T860" s="6"/>
      <c r="U860" s="24" t="str">
        <f>HYPERLINK("https://media.infra-m.ru/2166/2166415/cover/2166415.jpg", "Обложка")</f>
        <v>Обложка</v>
      </c>
      <c r="V860" s="24" t="str">
        <f>HYPERLINK("https://znanium.ru/catalog/product/2166415", "Ознакомиться")</f>
        <v>Ознакомиться</v>
      </c>
      <c r="W860" s="8"/>
      <c r="X860" s="6"/>
      <c r="Y860" s="6"/>
      <c r="Z860" s="6"/>
      <c r="AA860" s="6" t="s">
        <v>563</v>
      </c>
      <c r="AB860" s="8"/>
    </row>
    <row r="861" spans="1:28" s="4" customFormat="1" ht="51.95" customHeight="1">
      <c r="A861" s="5">
        <v>0</v>
      </c>
      <c r="B861" s="6" t="s">
        <v>5633</v>
      </c>
      <c r="C861" s="13">
        <v>164.9</v>
      </c>
      <c r="D861" s="8" t="s">
        <v>5634</v>
      </c>
      <c r="E861" s="8" t="s">
        <v>5635</v>
      </c>
      <c r="F861" s="8"/>
      <c r="G861" s="6" t="s">
        <v>67</v>
      </c>
      <c r="H861" s="6" t="s">
        <v>68</v>
      </c>
      <c r="I861" s="8"/>
      <c r="J861" s="9">
        <v>1</v>
      </c>
      <c r="K861" s="9">
        <v>96</v>
      </c>
      <c r="L861" s="9">
        <v>2018</v>
      </c>
      <c r="M861" s="8" t="s">
        <v>5636</v>
      </c>
      <c r="N861" s="8" t="s">
        <v>56</v>
      </c>
      <c r="O861" s="8" t="s">
        <v>57</v>
      </c>
      <c r="P861" s="6" t="s">
        <v>153</v>
      </c>
      <c r="Q861" s="8" t="s">
        <v>45</v>
      </c>
      <c r="R861" s="10" t="s">
        <v>5632</v>
      </c>
      <c r="S861" s="11"/>
      <c r="T861" s="6"/>
      <c r="U861" s="24" t="str">
        <f>HYPERLINK("https://media.infra-m.ru/0946/0946444/cover/946444.jpg", "Обложка")</f>
        <v>Обложка</v>
      </c>
      <c r="V861" s="24" t="str">
        <f>HYPERLINK("https://znanium.ru/catalog/product/2166415", "Ознакомиться")</f>
        <v>Ознакомиться</v>
      </c>
      <c r="W861" s="8"/>
      <c r="X861" s="6"/>
      <c r="Y861" s="6"/>
      <c r="Z861" s="6"/>
      <c r="AA861" s="6" t="s">
        <v>270</v>
      </c>
      <c r="AB861" s="8"/>
    </row>
    <row r="862" spans="1:28" s="4" customFormat="1" ht="51.95" customHeight="1">
      <c r="A862" s="5">
        <v>0</v>
      </c>
      <c r="B862" s="6" t="s">
        <v>5637</v>
      </c>
      <c r="C862" s="13">
        <v>870</v>
      </c>
      <c r="D862" s="8" t="s">
        <v>5638</v>
      </c>
      <c r="E862" s="8" t="s">
        <v>5639</v>
      </c>
      <c r="F862" s="8" t="s">
        <v>2838</v>
      </c>
      <c r="G862" s="6" t="s">
        <v>90</v>
      </c>
      <c r="H862" s="6" t="s">
        <v>54</v>
      </c>
      <c r="I862" s="8" t="s">
        <v>2839</v>
      </c>
      <c r="J862" s="9">
        <v>1</v>
      </c>
      <c r="K862" s="9">
        <v>184</v>
      </c>
      <c r="L862" s="9">
        <v>2024</v>
      </c>
      <c r="M862" s="8" t="s">
        <v>5640</v>
      </c>
      <c r="N862" s="8" t="s">
        <v>42</v>
      </c>
      <c r="O862" s="8" t="s">
        <v>169</v>
      </c>
      <c r="P862" s="6" t="s">
        <v>153</v>
      </c>
      <c r="Q862" s="8" t="s">
        <v>1381</v>
      </c>
      <c r="R862" s="10" t="s">
        <v>5641</v>
      </c>
      <c r="S862" s="11"/>
      <c r="T862" s="6"/>
      <c r="U862" s="24" t="str">
        <f>HYPERLINK("https://media.infra-m.ru/2143/2143709/cover/2143709.jpg", "Обложка")</f>
        <v>Обложка</v>
      </c>
      <c r="V862" s="24" t="str">
        <f>HYPERLINK("https://znanium.ru/catalog/product/2143709", "Ознакомиться")</f>
        <v>Ознакомиться</v>
      </c>
      <c r="W862" s="8"/>
      <c r="X862" s="6"/>
      <c r="Y862" s="6"/>
      <c r="Z862" s="6"/>
      <c r="AA862" s="6" t="s">
        <v>3514</v>
      </c>
      <c r="AB862" s="8"/>
    </row>
    <row r="863" spans="1:28" s="4" customFormat="1" ht="51.95" customHeight="1">
      <c r="A863" s="5">
        <v>0</v>
      </c>
      <c r="B863" s="6" t="s">
        <v>5642</v>
      </c>
      <c r="C863" s="13">
        <v>914</v>
      </c>
      <c r="D863" s="8" t="s">
        <v>5643</v>
      </c>
      <c r="E863" s="8" t="s">
        <v>5644</v>
      </c>
      <c r="F863" s="8" t="s">
        <v>5645</v>
      </c>
      <c r="G863" s="6" t="s">
        <v>90</v>
      </c>
      <c r="H863" s="6" t="s">
        <v>54</v>
      </c>
      <c r="I863" s="8" t="s">
        <v>40</v>
      </c>
      <c r="J863" s="9">
        <v>1</v>
      </c>
      <c r="K863" s="9">
        <v>175</v>
      </c>
      <c r="L863" s="9">
        <v>2025</v>
      </c>
      <c r="M863" s="8" t="s">
        <v>5646</v>
      </c>
      <c r="N863" s="8" t="s">
        <v>125</v>
      </c>
      <c r="O863" s="8" t="s">
        <v>352</v>
      </c>
      <c r="P863" s="6" t="s">
        <v>44</v>
      </c>
      <c r="Q863" s="8" t="s">
        <v>45</v>
      </c>
      <c r="R863" s="10" t="s">
        <v>5647</v>
      </c>
      <c r="S863" s="11" t="s">
        <v>5648</v>
      </c>
      <c r="T863" s="6"/>
      <c r="U863" s="24" t="str">
        <f>HYPERLINK("https://media.infra-m.ru/2197/2197863/cover/2197863.jpg", "Обложка")</f>
        <v>Обложка</v>
      </c>
      <c r="V863" s="24" t="str">
        <f>HYPERLINK("https://znanium.ru/catalog/product/2167697", "Ознакомиться")</f>
        <v>Ознакомиться</v>
      </c>
      <c r="W863" s="8" t="s">
        <v>379</v>
      </c>
      <c r="X863" s="6"/>
      <c r="Y863" s="6"/>
      <c r="Z863" s="6"/>
      <c r="AA863" s="6" t="s">
        <v>740</v>
      </c>
      <c r="AB863" s="8" t="s">
        <v>860</v>
      </c>
    </row>
    <row r="864" spans="1:28" s="4" customFormat="1" ht="51.95" customHeight="1">
      <c r="A864" s="5">
        <v>0</v>
      </c>
      <c r="B864" s="6" t="s">
        <v>5649</v>
      </c>
      <c r="C864" s="7">
        <v>1930</v>
      </c>
      <c r="D864" s="8" t="s">
        <v>5650</v>
      </c>
      <c r="E864" s="8" t="s">
        <v>5651</v>
      </c>
      <c r="F864" s="8" t="s">
        <v>5652</v>
      </c>
      <c r="G864" s="6" t="s">
        <v>90</v>
      </c>
      <c r="H864" s="6" t="s">
        <v>54</v>
      </c>
      <c r="I864" s="8" t="s">
        <v>40</v>
      </c>
      <c r="J864" s="9">
        <v>1</v>
      </c>
      <c r="K864" s="9">
        <v>386</v>
      </c>
      <c r="L864" s="9">
        <v>2025</v>
      </c>
      <c r="M864" s="8" t="s">
        <v>5653</v>
      </c>
      <c r="N864" s="8" t="s">
        <v>125</v>
      </c>
      <c r="O864" s="8" t="s">
        <v>352</v>
      </c>
      <c r="P864" s="6" t="s">
        <v>58</v>
      </c>
      <c r="Q864" s="8" t="s">
        <v>45</v>
      </c>
      <c r="R864" s="10" t="s">
        <v>5654</v>
      </c>
      <c r="S864" s="11" t="s">
        <v>5655</v>
      </c>
      <c r="T864" s="6"/>
      <c r="U864" s="24" t="str">
        <f>HYPERLINK("https://media.infra-m.ru/2152/2152108/cover/2152108.jpg", "Обложка")</f>
        <v>Обложка</v>
      </c>
      <c r="V864" s="24" t="str">
        <f>HYPERLINK("https://znanium.ru/catalog/product/2152108", "Ознакомиться")</f>
        <v>Ознакомиться</v>
      </c>
      <c r="W864" s="8" t="s">
        <v>3980</v>
      </c>
      <c r="X864" s="6"/>
      <c r="Y864" s="6"/>
      <c r="Z864" s="6"/>
      <c r="AA864" s="6" t="s">
        <v>111</v>
      </c>
      <c r="AB864" s="8"/>
    </row>
    <row r="865" spans="1:28" s="4" customFormat="1" ht="51.95" customHeight="1">
      <c r="A865" s="5">
        <v>0</v>
      </c>
      <c r="B865" s="6" t="s">
        <v>5656</v>
      </c>
      <c r="C865" s="7">
        <v>2884</v>
      </c>
      <c r="D865" s="8" t="s">
        <v>5657</v>
      </c>
      <c r="E865" s="8" t="s">
        <v>5658</v>
      </c>
      <c r="F865" s="8" t="s">
        <v>5659</v>
      </c>
      <c r="G865" s="6" t="s">
        <v>38</v>
      </c>
      <c r="H865" s="6" t="s">
        <v>359</v>
      </c>
      <c r="I865" s="8" t="s">
        <v>40</v>
      </c>
      <c r="J865" s="9">
        <v>1</v>
      </c>
      <c r="K865" s="9">
        <v>576</v>
      </c>
      <c r="L865" s="9">
        <v>2025</v>
      </c>
      <c r="M865" s="8" t="s">
        <v>5660</v>
      </c>
      <c r="N865" s="8" t="s">
        <v>125</v>
      </c>
      <c r="O865" s="8" t="s">
        <v>352</v>
      </c>
      <c r="P865" s="6" t="s">
        <v>58</v>
      </c>
      <c r="Q865" s="8" t="s">
        <v>45</v>
      </c>
      <c r="R865" s="10" t="s">
        <v>4986</v>
      </c>
      <c r="S865" s="11" t="s">
        <v>5661</v>
      </c>
      <c r="T865" s="6"/>
      <c r="U865" s="24" t="str">
        <f>HYPERLINK("https://media.infra-m.ru/2169/2169375/cover/2169375.jpg", "Обложка")</f>
        <v>Обложка</v>
      </c>
      <c r="V865" s="24" t="str">
        <f>HYPERLINK("https://znanium.ru/catalog/product/1876648", "Ознакомиться")</f>
        <v>Ознакомиться</v>
      </c>
      <c r="W865" s="8" t="s">
        <v>5662</v>
      </c>
      <c r="X865" s="6"/>
      <c r="Y865" s="6"/>
      <c r="Z865" s="6" t="s">
        <v>48</v>
      </c>
      <c r="AA865" s="6" t="s">
        <v>362</v>
      </c>
      <c r="AB865" s="8"/>
    </row>
    <row r="866" spans="1:28" s="4" customFormat="1" ht="51.95" customHeight="1">
      <c r="A866" s="5">
        <v>0</v>
      </c>
      <c r="B866" s="6" t="s">
        <v>5663</v>
      </c>
      <c r="C866" s="7">
        <v>1230</v>
      </c>
      <c r="D866" s="8" t="s">
        <v>5664</v>
      </c>
      <c r="E866" s="8" t="s">
        <v>5651</v>
      </c>
      <c r="F866" s="8" t="s">
        <v>5659</v>
      </c>
      <c r="G866" s="6" t="s">
        <v>90</v>
      </c>
      <c r="H866" s="6" t="s">
        <v>359</v>
      </c>
      <c r="I866" s="8" t="s">
        <v>40</v>
      </c>
      <c r="J866" s="9">
        <v>1</v>
      </c>
      <c r="K866" s="9">
        <v>384</v>
      </c>
      <c r="L866" s="9">
        <v>2019</v>
      </c>
      <c r="M866" s="8" t="s">
        <v>5665</v>
      </c>
      <c r="N866" s="8" t="s">
        <v>125</v>
      </c>
      <c r="O866" s="8" t="s">
        <v>352</v>
      </c>
      <c r="P866" s="6" t="s">
        <v>58</v>
      </c>
      <c r="Q866" s="8" t="s">
        <v>45</v>
      </c>
      <c r="R866" s="10" t="s">
        <v>4986</v>
      </c>
      <c r="S866" s="11" t="s">
        <v>5661</v>
      </c>
      <c r="T866" s="6"/>
      <c r="U866" s="24" t="str">
        <f>HYPERLINK("https://media.infra-m.ru/1020/1020226/cover/1020226.jpg", "Обложка")</f>
        <v>Обложка</v>
      </c>
      <c r="V866" s="24" t="str">
        <f>HYPERLINK("https://znanium.ru/catalog/product/1876648", "Ознакомиться")</f>
        <v>Ознакомиться</v>
      </c>
      <c r="W866" s="8" t="s">
        <v>5662</v>
      </c>
      <c r="X866" s="6"/>
      <c r="Y866" s="6"/>
      <c r="Z866" s="6" t="s">
        <v>48</v>
      </c>
      <c r="AA866" s="6" t="s">
        <v>111</v>
      </c>
      <c r="AB866" s="8"/>
    </row>
    <row r="867" spans="1:28" s="4" customFormat="1" ht="51.95" customHeight="1">
      <c r="A867" s="5">
        <v>0</v>
      </c>
      <c r="B867" s="6" t="s">
        <v>5666</v>
      </c>
      <c r="C867" s="7">
        <v>2224</v>
      </c>
      <c r="D867" s="8" t="s">
        <v>5667</v>
      </c>
      <c r="E867" s="8" t="s">
        <v>5668</v>
      </c>
      <c r="F867" s="8" t="s">
        <v>5669</v>
      </c>
      <c r="G867" s="6" t="s">
        <v>38</v>
      </c>
      <c r="H867" s="6" t="s">
        <v>54</v>
      </c>
      <c r="I867" s="8" t="s">
        <v>40</v>
      </c>
      <c r="J867" s="9">
        <v>1</v>
      </c>
      <c r="K867" s="9">
        <v>428</v>
      </c>
      <c r="L867" s="9">
        <v>2025</v>
      </c>
      <c r="M867" s="8" t="s">
        <v>5670</v>
      </c>
      <c r="N867" s="8" t="s">
        <v>125</v>
      </c>
      <c r="O867" s="8" t="s">
        <v>352</v>
      </c>
      <c r="P867" s="6" t="s">
        <v>58</v>
      </c>
      <c r="Q867" s="8" t="s">
        <v>45</v>
      </c>
      <c r="R867" s="10" t="s">
        <v>2449</v>
      </c>
      <c r="S867" s="11" t="s">
        <v>5671</v>
      </c>
      <c r="T867" s="6"/>
      <c r="U867" s="24" t="str">
        <f>HYPERLINK("https://media.infra-m.ru/2143/2143554/cover/2143554.jpg", "Обложка")</f>
        <v>Обложка</v>
      </c>
      <c r="V867" s="24" t="str">
        <f>HYPERLINK("https://znanium.ru/catalog/product/1816810", "Ознакомиться")</f>
        <v>Ознакомиться</v>
      </c>
      <c r="W867" s="8" t="s">
        <v>3095</v>
      </c>
      <c r="X867" s="6"/>
      <c r="Y867" s="6"/>
      <c r="Z867" s="6" t="s">
        <v>48</v>
      </c>
      <c r="AA867" s="6" t="s">
        <v>500</v>
      </c>
      <c r="AB867" s="8"/>
    </row>
    <row r="868" spans="1:28" s="4" customFormat="1" ht="51.95" customHeight="1">
      <c r="A868" s="5">
        <v>0</v>
      </c>
      <c r="B868" s="6" t="s">
        <v>5672</v>
      </c>
      <c r="C868" s="7">
        <v>1000</v>
      </c>
      <c r="D868" s="8" t="s">
        <v>5673</v>
      </c>
      <c r="E868" s="8" t="s">
        <v>5674</v>
      </c>
      <c r="F868" s="8" t="s">
        <v>5675</v>
      </c>
      <c r="G868" s="6" t="s">
        <v>90</v>
      </c>
      <c r="H868" s="6" t="s">
        <v>68</v>
      </c>
      <c r="I868" s="8" t="s">
        <v>69</v>
      </c>
      <c r="J868" s="9">
        <v>1</v>
      </c>
      <c r="K868" s="9">
        <v>221</v>
      </c>
      <c r="L868" s="9">
        <v>2022</v>
      </c>
      <c r="M868" s="8" t="s">
        <v>5676</v>
      </c>
      <c r="N868" s="8" t="s">
        <v>125</v>
      </c>
      <c r="O868" s="8" t="s">
        <v>352</v>
      </c>
      <c r="P868" s="6" t="s">
        <v>58</v>
      </c>
      <c r="Q868" s="8" t="s">
        <v>45</v>
      </c>
      <c r="R868" s="10" t="s">
        <v>5677</v>
      </c>
      <c r="S868" s="11" t="s">
        <v>93</v>
      </c>
      <c r="T868" s="6"/>
      <c r="U868" s="24" t="str">
        <f>HYPERLINK("https://media.infra-m.ru/1920/1920494/cover/1920494.jpg", "Обложка")</f>
        <v>Обложка</v>
      </c>
      <c r="V868" s="24" t="str">
        <f>HYPERLINK("https://znanium.ru/catalog/product/2179691", "Ознакомиться")</f>
        <v>Ознакомиться</v>
      </c>
      <c r="W868" s="8" t="s">
        <v>5678</v>
      </c>
      <c r="X868" s="6"/>
      <c r="Y868" s="6" t="s">
        <v>30</v>
      </c>
      <c r="Z868" s="6"/>
      <c r="AA868" s="6" t="s">
        <v>5679</v>
      </c>
      <c r="AB868" s="8"/>
    </row>
    <row r="869" spans="1:28" s="4" customFormat="1" ht="51.95" customHeight="1">
      <c r="A869" s="5">
        <v>0</v>
      </c>
      <c r="B869" s="6" t="s">
        <v>5680</v>
      </c>
      <c r="C869" s="7">
        <v>1144</v>
      </c>
      <c r="D869" s="8" t="s">
        <v>5681</v>
      </c>
      <c r="E869" s="8" t="s">
        <v>5682</v>
      </c>
      <c r="F869" s="8" t="s">
        <v>5675</v>
      </c>
      <c r="G869" s="6" t="s">
        <v>90</v>
      </c>
      <c r="H869" s="6" t="s">
        <v>68</v>
      </c>
      <c r="I869" s="8" t="s">
        <v>69</v>
      </c>
      <c r="J869" s="9">
        <v>1</v>
      </c>
      <c r="K869" s="9">
        <v>212</v>
      </c>
      <c r="L869" s="9">
        <v>2025</v>
      </c>
      <c r="M869" s="8" t="s">
        <v>5683</v>
      </c>
      <c r="N869" s="8" t="s">
        <v>125</v>
      </c>
      <c r="O869" s="8" t="s">
        <v>352</v>
      </c>
      <c r="P869" s="6" t="s">
        <v>58</v>
      </c>
      <c r="Q869" s="8" t="s">
        <v>45</v>
      </c>
      <c r="R869" s="10" t="s">
        <v>5677</v>
      </c>
      <c r="S869" s="11" t="s">
        <v>93</v>
      </c>
      <c r="T869" s="6"/>
      <c r="U869" s="24" t="str">
        <f>HYPERLINK("https://media.infra-m.ru/2192/2192093/cover/2192093.jpg", "Обложка")</f>
        <v>Обложка</v>
      </c>
      <c r="V869" s="24" t="str">
        <f>HYPERLINK("https://znanium.ru/catalog/product/2179691", "Ознакомиться")</f>
        <v>Ознакомиться</v>
      </c>
      <c r="W869" s="8" t="s">
        <v>5678</v>
      </c>
      <c r="X869" s="6"/>
      <c r="Y869" s="6" t="s">
        <v>30</v>
      </c>
      <c r="Z869" s="6"/>
      <c r="AA869" s="6" t="s">
        <v>5684</v>
      </c>
      <c r="AB869" s="8"/>
    </row>
    <row r="870" spans="1:28" s="4" customFormat="1" ht="51.95" customHeight="1">
      <c r="A870" s="5">
        <v>0</v>
      </c>
      <c r="B870" s="6" t="s">
        <v>5685</v>
      </c>
      <c r="C870" s="7">
        <v>1894</v>
      </c>
      <c r="D870" s="8" t="s">
        <v>5686</v>
      </c>
      <c r="E870" s="8" t="s">
        <v>5687</v>
      </c>
      <c r="F870" s="8" t="s">
        <v>5688</v>
      </c>
      <c r="G870" s="6" t="s">
        <v>90</v>
      </c>
      <c r="H870" s="6" t="s">
        <v>299</v>
      </c>
      <c r="I870" s="8" t="s">
        <v>40</v>
      </c>
      <c r="J870" s="9">
        <v>1</v>
      </c>
      <c r="K870" s="9">
        <v>364</v>
      </c>
      <c r="L870" s="9">
        <v>2026</v>
      </c>
      <c r="M870" s="8" t="s">
        <v>5689</v>
      </c>
      <c r="N870" s="8" t="s">
        <v>125</v>
      </c>
      <c r="O870" s="8" t="s">
        <v>352</v>
      </c>
      <c r="P870" s="6" t="s">
        <v>58</v>
      </c>
      <c r="Q870" s="8" t="s">
        <v>45</v>
      </c>
      <c r="R870" s="10" t="s">
        <v>5690</v>
      </c>
      <c r="S870" s="11" t="s">
        <v>5691</v>
      </c>
      <c r="T870" s="6"/>
      <c r="U870" s="24" t="str">
        <f>HYPERLINK("https://media.infra-m.ru/2216/2216150/cover/2216150.jpg", "Обложка")</f>
        <v>Обложка</v>
      </c>
      <c r="V870" s="24" t="str">
        <f>HYPERLINK("https://znanium.ru/catalog/product/2212376", "Ознакомиться")</f>
        <v>Ознакомиться</v>
      </c>
      <c r="W870" s="8" t="s">
        <v>5692</v>
      </c>
      <c r="X870" s="6"/>
      <c r="Y870" s="6" t="s">
        <v>30</v>
      </c>
      <c r="Z870" s="6"/>
      <c r="AA870" s="6" t="s">
        <v>443</v>
      </c>
      <c r="AB870" s="8"/>
    </row>
    <row r="871" spans="1:28" s="4" customFormat="1" ht="44.1" customHeight="1">
      <c r="A871" s="5">
        <v>0</v>
      </c>
      <c r="B871" s="6" t="s">
        <v>5693</v>
      </c>
      <c r="C871" s="13">
        <v>884</v>
      </c>
      <c r="D871" s="8" t="s">
        <v>5694</v>
      </c>
      <c r="E871" s="8" t="s">
        <v>5695</v>
      </c>
      <c r="F871" s="8" t="s">
        <v>5696</v>
      </c>
      <c r="G871" s="6" t="s">
        <v>38</v>
      </c>
      <c r="H871" s="6" t="s">
        <v>68</v>
      </c>
      <c r="I871" s="8" t="s">
        <v>69</v>
      </c>
      <c r="J871" s="9">
        <v>1</v>
      </c>
      <c r="K871" s="9">
        <v>177</v>
      </c>
      <c r="L871" s="9">
        <v>2025</v>
      </c>
      <c r="M871" s="8" t="s">
        <v>5697</v>
      </c>
      <c r="N871" s="8" t="s">
        <v>125</v>
      </c>
      <c r="O871" s="8" t="s">
        <v>352</v>
      </c>
      <c r="P871" s="6" t="s">
        <v>58</v>
      </c>
      <c r="Q871" s="8" t="s">
        <v>45</v>
      </c>
      <c r="R871" s="10" t="s">
        <v>5698</v>
      </c>
      <c r="S871" s="11"/>
      <c r="T871" s="6"/>
      <c r="U871" s="24" t="str">
        <f>HYPERLINK("https://media.infra-m.ru/2161/2161041/cover/2161041.jpg", "Обложка")</f>
        <v>Обложка</v>
      </c>
      <c r="V871" s="24" t="str">
        <f>HYPERLINK("https://znanium.ru/catalog/product/1461283", "Ознакомиться")</f>
        <v>Ознакомиться</v>
      </c>
      <c r="W871" s="8" t="s">
        <v>868</v>
      </c>
      <c r="X871" s="6"/>
      <c r="Y871" s="6"/>
      <c r="Z871" s="6" t="s">
        <v>48</v>
      </c>
      <c r="AA871" s="6" t="s">
        <v>223</v>
      </c>
      <c r="AB871" s="8"/>
    </row>
    <row r="872" spans="1:28" s="4" customFormat="1" ht="51.95" customHeight="1">
      <c r="A872" s="5">
        <v>0</v>
      </c>
      <c r="B872" s="6" t="s">
        <v>5699</v>
      </c>
      <c r="C872" s="7">
        <v>1270</v>
      </c>
      <c r="D872" s="8" t="s">
        <v>5700</v>
      </c>
      <c r="E872" s="8" t="s">
        <v>5695</v>
      </c>
      <c r="F872" s="8" t="s">
        <v>5701</v>
      </c>
      <c r="G872" s="6" t="s">
        <v>90</v>
      </c>
      <c r="H872" s="6" t="s">
        <v>54</v>
      </c>
      <c r="I872" s="8" t="s">
        <v>40</v>
      </c>
      <c r="J872" s="9">
        <v>1</v>
      </c>
      <c r="K872" s="9">
        <v>239</v>
      </c>
      <c r="L872" s="9">
        <v>2026</v>
      </c>
      <c r="M872" s="8" t="s">
        <v>5702</v>
      </c>
      <c r="N872" s="8" t="s">
        <v>125</v>
      </c>
      <c r="O872" s="8" t="s">
        <v>352</v>
      </c>
      <c r="P872" s="6" t="s">
        <v>58</v>
      </c>
      <c r="Q872" s="8" t="s">
        <v>45</v>
      </c>
      <c r="R872" s="10" t="s">
        <v>5703</v>
      </c>
      <c r="S872" s="11" t="s">
        <v>5704</v>
      </c>
      <c r="T872" s="6"/>
      <c r="U872" s="24" t="str">
        <f>HYPERLINK("https://media.infra-m.ru/2218/2218516/cover/2218516.jpg", "Обложка")</f>
        <v>Обложка</v>
      </c>
      <c r="V872" s="24" t="str">
        <f>HYPERLINK("https://znanium.ru/catalog/product/2218516", "Ознакомиться")</f>
        <v>Ознакомиться</v>
      </c>
      <c r="W872" s="8" t="s">
        <v>172</v>
      </c>
      <c r="X872" s="6"/>
      <c r="Y872" s="6" t="s">
        <v>30</v>
      </c>
      <c r="Z872" s="6"/>
      <c r="AA872" s="6" t="s">
        <v>261</v>
      </c>
      <c r="AB872" s="8"/>
    </row>
    <row r="873" spans="1:28" s="4" customFormat="1" ht="44.1" customHeight="1">
      <c r="A873" s="5">
        <v>0</v>
      </c>
      <c r="B873" s="6" t="s">
        <v>5705</v>
      </c>
      <c r="C873" s="13">
        <v>594</v>
      </c>
      <c r="D873" s="8" t="s">
        <v>5706</v>
      </c>
      <c r="E873" s="8" t="s">
        <v>5707</v>
      </c>
      <c r="F873" s="8" t="s">
        <v>5115</v>
      </c>
      <c r="G873" s="6" t="s">
        <v>67</v>
      </c>
      <c r="H873" s="6" t="s">
        <v>39</v>
      </c>
      <c r="I873" s="8" t="s">
        <v>69</v>
      </c>
      <c r="J873" s="9">
        <v>1</v>
      </c>
      <c r="K873" s="9">
        <v>128</v>
      </c>
      <c r="L873" s="9">
        <v>2024</v>
      </c>
      <c r="M873" s="8" t="s">
        <v>5708</v>
      </c>
      <c r="N873" s="8" t="s">
        <v>125</v>
      </c>
      <c r="O873" s="8" t="s">
        <v>352</v>
      </c>
      <c r="P873" s="6" t="s">
        <v>5709</v>
      </c>
      <c r="Q873" s="8" t="s">
        <v>45</v>
      </c>
      <c r="R873" s="10" t="s">
        <v>5710</v>
      </c>
      <c r="S873" s="11"/>
      <c r="T873" s="6"/>
      <c r="U873" s="24" t="str">
        <f>HYPERLINK("https://media.infra-m.ru/2056/2056804/cover/2056804.jpg", "Обложка")</f>
        <v>Обложка</v>
      </c>
      <c r="V873" s="24" t="str">
        <f>HYPERLINK("https://znanium.ru/catalog/product/1834716", "Ознакомиться")</f>
        <v>Ознакомиться</v>
      </c>
      <c r="W873" s="8" t="s">
        <v>94</v>
      </c>
      <c r="X873" s="6"/>
      <c r="Y873" s="6" t="s">
        <v>30</v>
      </c>
      <c r="Z873" s="6"/>
      <c r="AA873" s="6" t="s">
        <v>2161</v>
      </c>
      <c r="AB873" s="8"/>
    </row>
    <row r="874" spans="1:28" s="4" customFormat="1" ht="44.1" customHeight="1">
      <c r="A874" s="5">
        <v>0</v>
      </c>
      <c r="B874" s="6" t="s">
        <v>5711</v>
      </c>
      <c r="C874" s="13">
        <v>454.9</v>
      </c>
      <c r="D874" s="8" t="s">
        <v>5712</v>
      </c>
      <c r="E874" s="8" t="s">
        <v>5687</v>
      </c>
      <c r="F874" s="8" t="s">
        <v>5713</v>
      </c>
      <c r="G874" s="6" t="s">
        <v>67</v>
      </c>
      <c r="H874" s="6" t="s">
        <v>68</v>
      </c>
      <c r="I874" s="8" t="s">
        <v>69</v>
      </c>
      <c r="J874" s="9">
        <v>1</v>
      </c>
      <c r="K874" s="9">
        <v>203</v>
      </c>
      <c r="L874" s="9">
        <v>2020</v>
      </c>
      <c r="M874" s="8" t="s">
        <v>5714</v>
      </c>
      <c r="N874" s="8" t="s">
        <v>125</v>
      </c>
      <c r="O874" s="8" t="s">
        <v>352</v>
      </c>
      <c r="P874" s="6" t="s">
        <v>44</v>
      </c>
      <c r="Q874" s="8" t="s">
        <v>45</v>
      </c>
      <c r="R874" s="10" t="s">
        <v>5715</v>
      </c>
      <c r="S874" s="11"/>
      <c r="T874" s="6"/>
      <c r="U874" s="24" t="str">
        <f>HYPERLINK("https://media.infra-m.ru/1015/1015080/cover/1015080.jpg", "Обложка")</f>
        <v>Обложка</v>
      </c>
      <c r="V874" s="24" t="str">
        <f>HYPERLINK("https://znanium.ru/catalog/product/1015080", "Ознакомиться")</f>
        <v>Ознакомиться</v>
      </c>
      <c r="W874" s="8" t="s">
        <v>5678</v>
      </c>
      <c r="X874" s="6"/>
      <c r="Y874" s="6" t="s">
        <v>30</v>
      </c>
      <c r="Z874" s="6"/>
      <c r="AA874" s="6" t="s">
        <v>3228</v>
      </c>
      <c r="AB874" s="8"/>
    </row>
    <row r="875" spans="1:28" s="4" customFormat="1" ht="51.95" customHeight="1">
      <c r="A875" s="5">
        <v>0</v>
      </c>
      <c r="B875" s="6" t="s">
        <v>5716</v>
      </c>
      <c r="C875" s="7">
        <v>1130</v>
      </c>
      <c r="D875" s="8" t="s">
        <v>5717</v>
      </c>
      <c r="E875" s="8" t="s">
        <v>5695</v>
      </c>
      <c r="F875" s="8" t="s">
        <v>5718</v>
      </c>
      <c r="G875" s="6" t="s">
        <v>90</v>
      </c>
      <c r="H875" s="6" t="s">
        <v>299</v>
      </c>
      <c r="I875" s="8" t="s">
        <v>40</v>
      </c>
      <c r="J875" s="9">
        <v>1</v>
      </c>
      <c r="K875" s="9">
        <v>333</v>
      </c>
      <c r="L875" s="9">
        <v>2019</v>
      </c>
      <c r="M875" s="8" t="s">
        <v>5719</v>
      </c>
      <c r="N875" s="8" t="s">
        <v>125</v>
      </c>
      <c r="O875" s="8" t="s">
        <v>352</v>
      </c>
      <c r="P875" s="6" t="s">
        <v>58</v>
      </c>
      <c r="Q875" s="8" t="s">
        <v>45</v>
      </c>
      <c r="R875" s="10" t="s">
        <v>5690</v>
      </c>
      <c r="S875" s="11" t="s">
        <v>5720</v>
      </c>
      <c r="T875" s="6"/>
      <c r="U875" s="24" t="str">
        <f>HYPERLINK("https://media.infra-m.ru/1003/1003313/cover/1003313.jpg", "Обложка")</f>
        <v>Обложка</v>
      </c>
      <c r="V875" s="24" t="str">
        <f>HYPERLINK("https://znanium.ru/catalog/product/2212376", "Ознакомиться")</f>
        <v>Ознакомиться</v>
      </c>
      <c r="W875" s="8" t="s">
        <v>5692</v>
      </c>
      <c r="X875" s="6"/>
      <c r="Y875" s="6" t="s">
        <v>30</v>
      </c>
      <c r="Z875" s="6"/>
      <c r="AA875" s="6" t="s">
        <v>835</v>
      </c>
      <c r="AB875" s="8"/>
    </row>
    <row r="876" spans="1:28" s="4" customFormat="1" ht="51.95" customHeight="1">
      <c r="A876" s="5">
        <v>0</v>
      </c>
      <c r="B876" s="6" t="s">
        <v>5721</v>
      </c>
      <c r="C876" s="7">
        <v>1220</v>
      </c>
      <c r="D876" s="8" t="s">
        <v>5722</v>
      </c>
      <c r="E876" s="8" t="s">
        <v>5723</v>
      </c>
      <c r="F876" s="8" t="s">
        <v>5724</v>
      </c>
      <c r="G876" s="6" t="s">
        <v>90</v>
      </c>
      <c r="H876" s="6" t="s">
        <v>54</v>
      </c>
      <c r="I876" s="8" t="s">
        <v>40</v>
      </c>
      <c r="J876" s="9">
        <v>1</v>
      </c>
      <c r="K876" s="9">
        <v>289</v>
      </c>
      <c r="L876" s="9">
        <v>2022</v>
      </c>
      <c r="M876" s="8" t="s">
        <v>5725</v>
      </c>
      <c r="N876" s="8" t="s">
        <v>125</v>
      </c>
      <c r="O876" s="8" t="s">
        <v>352</v>
      </c>
      <c r="P876" s="6" t="s">
        <v>58</v>
      </c>
      <c r="Q876" s="8" t="s">
        <v>45</v>
      </c>
      <c r="R876" s="10" t="s">
        <v>5647</v>
      </c>
      <c r="S876" s="11" t="s">
        <v>5726</v>
      </c>
      <c r="T876" s="6" t="s">
        <v>118</v>
      </c>
      <c r="U876" s="24" t="str">
        <f>HYPERLINK("https://media.infra-m.ru/1872/1872294/cover/1872294.jpg", "Обложка")</f>
        <v>Обложка</v>
      </c>
      <c r="V876" s="12"/>
      <c r="W876" s="8" t="s">
        <v>386</v>
      </c>
      <c r="X876" s="6"/>
      <c r="Y876" s="6"/>
      <c r="Z876" s="6" t="s">
        <v>48</v>
      </c>
      <c r="AA876" s="6" t="s">
        <v>500</v>
      </c>
      <c r="AB876" s="8"/>
    </row>
    <row r="877" spans="1:28" s="4" customFormat="1" ht="51.95" customHeight="1">
      <c r="A877" s="5">
        <v>0</v>
      </c>
      <c r="B877" s="6" t="s">
        <v>5727</v>
      </c>
      <c r="C877" s="7">
        <v>1120</v>
      </c>
      <c r="D877" s="8" t="s">
        <v>5728</v>
      </c>
      <c r="E877" s="8" t="s">
        <v>5729</v>
      </c>
      <c r="F877" s="8" t="s">
        <v>2041</v>
      </c>
      <c r="G877" s="6" t="s">
        <v>38</v>
      </c>
      <c r="H877" s="6" t="s">
        <v>54</v>
      </c>
      <c r="I877" s="8" t="s">
        <v>40</v>
      </c>
      <c r="J877" s="9">
        <v>1</v>
      </c>
      <c r="K877" s="9">
        <v>236</v>
      </c>
      <c r="L877" s="9">
        <v>2023</v>
      </c>
      <c r="M877" s="8" t="s">
        <v>5730</v>
      </c>
      <c r="N877" s="8" t="s">
        <v>125</v>
      </c>
      <c r="O877" s="8" t="s">
        <v>352</v>
      </c>
      <c r="P877" s="6" t="s">
        <v>44</v>
      </c>
      <c r="Q877" s="8" t="s">
        <v>45</v>
      </c>
      <c r="R877" s="10" t="s">
        <v>1658</v>
      </c>
      <c r="S877" s="11" t="s">
        <v>5731</v>
      </c>
      <c r="T877" s="6"/>
      <c r="U877" s="24" t="str">
        <f>HYPERLINK("https://media.infra-m.ru/1860/1860974/cover/1860974.jpg", "Обложка")</f>
        <v>Обложка</v>
      </c>
      <c r="V877" s="24" t="str">
        <f>HYPERLINK("https://znanium.ru/catalog/product/1860974", "Ознакомиться")</f>
        <v>Ознакомиться</v>
      </c>
      <c r="W877" s="8" t="s">
        <v>2044</v>
      </c>
      <c r="X877" s="6"/>
      <c r="Y877" s="6"/>
      <c r="Z877" s="6"/>
      <c r="AA877" s="6" t="s">
        <v>102</v>
      </c>
      <c r="AB877" s="8"/>
    </row>
    <row r="878" spans="1:28" s="4" customFormat="1" ht="42" customHeight="1">
      <c r="A878" s="5">
        <v>0</v>
      </c>
      <c r="B878" s="6" t="s">
        <v>5732</v>
      </c>
      <c r="C878" s="7">
        <v>1650</v>
      </c>
      <c r="D878" s="8" t="s">
        <v>5733</v>
      </c>
      <c r="E878" s="8" t="s">
        <v>5734</v>
      </c>
      <c r="F878" s="8" t="s">
        <v>5735</v>
      </c>
      <c r="G878" s="6" t="s">
        <v>90</v>
      </c>
      <c r="H878" s="6" t="s">
        <v>68</v>
      </c>
      <c r="I878" s="8" t="s">
        <v>69</v>
      </c>
      <c r="J878" s="9">
        <v>1</v>
      </c>
      <c r="K878" s="9">
        <v>300</v>
      </c>
      <c r="L878" s="9">
        <v>2025</v>
      </c>
      <c r="M878" s="8" t="s">
        <v>5736</v>
      </c>
      <c r="N878" s="8" t="s">
        <v>125</v>
      </c>
      <c r="O878" s="8" t="s">
        <v>352</v>
      </c>
      <c r="P878" s="6" t="s">
        <v>58</v>
      </c>
      <c r="Q878" s="8" t="s">
        <v>45</v>
      </c>
      <c r="R878" s="10" t="s">
        <v>2449</v>
      </c>
      <c r="S878" s="11"/>
      <c r="T878" s="6"/>
      <c r="U878" s="24" t="str">
        <f>HYPERLINK("https://media.infra-m.ru/2225/2225203/cover/2225203.jpg", "Обложка")</f>
        <v>Обложка</v>
      </c>
      <c r="V878" s="24" t="str">
        <f>HYPERLINK("https://znanium.ru/catalog/product/2185025", "Ознакомиться")</f>
        <v>Ознакомиться</v>
      </c>
      <c r="W878" s="8" t="s">
        <v>5737</v>
      </c>
      <c r="X878" s="6"/>
      <c r="Y878" s="6"/>
      <c r="Z878" s="6"/>
      <c r="AA878" s="6" t="s">
        <v>84</v>
      </c>
      <c r="AB878" s="8"/>
    </row>
    <row r="879" spans="1:28" s="4" customFormat="1" ht="51.95" customHeight="1">
      <c r="A879" s="5">
        <v>0</v>
      </c>
      <c r="B879" s="6" t="s">
        <v>5738</v>
      </c>
      <c r="C879" s="7">
        <v>1360</v>
      </c>
      <c r="D879" s="8" t="s">
        <v>5739</v>
      </c>
      <c r="E879" s="8" t="s">
        <v>5734</v>
      </c>
      <c r="F879" s="8" t="s">
        <v>5740</v>
      </c>
      <c r="G879" s="6" t="s">
        <v>90</v>
      </c>
      <c r="H879" s="6" t="s">
        <v>54</v>
      </c>
      <c r="I879" s="8" t="s">
        <v>40</v>
      </c>
      <c r="J879" s="9">
        <v>1</v>
      </c>
      <c r="K879" s="9">
        <v>252</v>
      </c>
      <c r="L879" s="9">
        <v>2025</v>
      </c>
      <c r="M879" s="8" t="s">
        <v>5741</v>
      </c>
      <c r="N879" s="8" t="s">
        <v>125</v>
      </c>
      <c r="O879" s="8" t="s">
        <v>352</v>
      </c>
      <c r="P879" s="6" t="s">
        <v>44</v>
      </c>
      <c r="Q879" s="8" t="s">
        <v>45</v>
      </c>
      <c r="R879" s="10" t="s">
        <v>108</v>
      </c>
      <c r="S879" s="11" t="s">
        <v>5742</v>
      </c>
      <c r="T879" s="6"/>
      <c r="U879" s="24" t="str">
        <f>HYPERLINK("https://media.infra-m.ru/2186/2186171/cover/2186171.jpg", "Обложка")</f>
        <v>Обложка</v>
      </c>
      <c r="V879" s="24" t="str">
        <f>HYPERLINK("https://znanium.ru/catalog/product/2186171", "Ознакомиться")</f>
        <v>Ознакомиться</v>
      </c>
      <c r="W879" s="8" t="s">
        <v>5743</v>
      </c>
      <c r="X879" s="6"/>
      <c r="Y879" s="6"/>
      <c r="Z879" s="6"/>
      <c r="AA879" s="6" t="s">
        <v>102</v>
      </c>
      <c r="AB879" s="8" t="s">
        <v>648</v>
      </c>
    </row>
    <row r="880" spans="1:28" s="4" customFormat="1" ht="42" customHeight="1">
      <c r="A880" s="5">
        <v>0</v>
      </c>
      <c r="B880" s="6" t="s">
        <v>5744</v>
      </c>
      <c r="C880" s="7">
        <v>2160</v>
      </c>
      <c r="D880" s="8" t="s">
        <v>5745</v>
      </c>
      <c r="E880" s="8" t="s">
        <v>5746</v>
      </c>
      <c r="F880" s="8" t="s">
        <v>5747</v>
      </c>
      <c r="G880" s="6" t="s">
        <v>38</v>
      </c>
      <c r="H880" s="6" t="s">
        <v>359</v>
      </c>
      <c r="I880" s="8" t="s">
        <v>40</v>
      </c>
      <c r="J880" s="9">
        <v>1</v>
      </c>
      <c r="K880" s="9">
        <v>432</v>
      </c>
      <c r="L880" s="9">
        <v>2025</v>
      </c>
      <c r="M880" s="8" t="s">
        <v>5748</v>
      </c>
      <c r="N880" s="8" t="s">
        <v>125</v>
      </c>
      <c r="O880" s="8" t="s">
        <v>352</v>
      </c>
      <c r="P880" s="6" t="s">
        <v>58</v>
      </c>
      <c r="Q880" s="8" t="s">
        <v>45</v>
      </c>
      <c r="R880" s="10" t="s">
        <v>2449</v>
      </c>
      <c r="S880" s="11"/>
      <c r="T880" s="6"/>
      <c r="U880" s="24" t="str">
        <f>HYPERLINK("https://media.infra-m.ru/2186/2186983/cover/2186983.jpg", "Обложка")</f>
        <v>Обложка</v>
      </c>
      <c r="V880" s="24" t="str">
        <f>HYPERLINK("https://znanium.ru/catalog/product/2186983", "Ознакомиться")</f>
        <v>Ознакомиться</v>
      </c>
      <c r="W880" s="8" t="s">
        <v>5749</v>
      </c>
      <c r="X880" s="6"/>
      <c r="Y880" s="6"/>
      <c r="Z880" s="6"/>
      <c r="AA880" s="6" t="s">
        <v>500</v>
      </c>
      <c r="AB880" s="8"/>
    </row>
    <row r="881" spans="1:28" s="4" customFormat="1" ht="42" customHeight="1">
      <c r="A881" s="5">
        <v>0</v>
      </c>
      <c r="B881" s="6" t="s">
        <v>5750</v>
      </c>
      <c r="C881" s="7">
        <v>1350</v>
      </c>
      <c r="D881" s="8" t="s">
        <v>5751</v>
      </c>
      <c r="E881" s="8" t="s">
        <v>5752</v>
      </c>
      <c r="F881" s="8" t="s">
        <v>5753</v>
      </c>
      <c r="G881" s="6" t="s">
        <v>38</v>
      </c>
      <c r="H881" s="6" t="s">
        <v>54</v>
      </c>
      <c r="I881" s="8" t="s">
        <v>40</v>
      </c>
      <c r="J881" s="9">
        <v>1</v>
      </c>
      <c r="K881" s="9">
        <v>287</v>
      </c>
      <c r="L881" s="9">
        <v>2024</v>
      </c>
      <c r="M881" s="8" t="s">
        <v>5754</v>
      </c>
      <c r="N881" s="8" t="s">
        <v>125</v>
      </c>
      <c r="O881" s="8" t="s">
        <v>352</v>
      </c>
      <c r="P881" s="6" t="s">
        <v>44</v>
      </c>
      <c r="Q881" s="8" t="s">
        <v>45</v>
      </c>
      <c r="R881" s="10" t="s">
        <v>108</v>
      </c>
      <c r="S881" s="11"/>
      <c r="T881" s="6"/>
      <c r="U881" s="24" t="str">
        <f>HYPERLINK("https://media.infra-m.ru/1865/1865662/cover/1865662.jpg", "Обложка")</f>
        <v>Обложка</v>
      </c>
      <c r="V881" s="24" t="str">
        <f>HYPERLINK("https://znanium.ru/catalog/product/1865662", "Ознакомиться")</f>
        <v>Ознакомиться</v>
      </c>
      <c r="W881" s="8" t="s">
        <v>2886</v>
      </c>
      <c r="X881" s="6"/>
      <c r="Y881" s="6"/>
      <c r="Z881" s="6"/>
      <c r="AA881" s="6" t="s">
        <v>354</v>
      </c>
      <c r="AB881" s="8"/>
    </row>
    <row r="882" spans="1:28" s="4" customFormat="1" ht="51.95" customHeight="1">
      <c r="A882" s="5">
        <v>0</v>
      </c>
      <c r="B882" s="6" t="s">
        <v>5755</v>
      </c>
      <c r="C882" s="13">
        <v>820</v>
      </c>
      <c r="D882" s="8" t="s">
        <v>5756</v>
      </c>
      <c r="E882" s="8" t="s">
        <v>5752</v>
      </c>
      <c r="F882" s="8" t="s">
        <v>5740</v>
      </c>
      <c r="G882" s="6" t="s">
        <v>90</v>
      </c>
      <c r="H882" s="6" t="s">
        <v>299</v>
      </c>
      <c r="I882" s="8" t="s">
        <v>40</v>
      </c>
      <c r="J882" s="9">
        <v>1</v>
      </c>
      <c r="K882" s="9">
        <v>256</v>
      </c>
      <c r="L882" s="9">
        <v>2019</v>
      </c>
      <c r="M882" s="8" t="s">
        <v>5757</v>
      </c>
      <c r="N882" s="8" t="s">
        <v>125</v>
      </c>
      <c r="O882" s="8" t="s">
        <v>352</v>
      </c>
      <c r="P882" s="6" t="s">
        <v>44</v>
      </c>
      <c r="Q882" s="8" t="s">
        <v>45</v>
      </c>
      <c r="R882" s="10" t="s">
        <v>108</v>
      </c>
      <c r="S882" s="11" t="s">
        <v>5758</v>
      </c>
      <c r="T882" s="6"/>
      <c r="U882" s="24" t="str">
        <f>HYPERLINK("https://media.infra-m.ru/0982/0982775/cover/982775.jpg", "Обложка")</f>
        <v>Обложка</v>
      </c>
      <c r="V882" s="24" t="str">
        <f>HYPERLINK("https://znanium.ru/catalog/product/1852912", "Ознакомиться")</f>
        <v>Ознакомиться</v>
      </c>
      <c r="W882" s="8" t="s">
        <v>5743</v>
      </c>
      <c r="X882" s="6"/>
      <c r="Y882" s="6"/>
      <c r="Z882" s="6"/>
      <c r="AA882" s="6" t="s">
        <v>696</v>
      </c>
      <c r="AB882" s="8"/>
    </row>
    <row r="883" spans="1:28" s="4" customFormat="1" ht="42" customHeight="1">
      <c r="A883" s="5">
        <v>0</v>
      </c>
      <c r="B883" s="6" t="s">
        <v>5759</v>
      </c>
      <c r="C883" s="7">
        <v>1394</v>
      </c>
      <c r="D883" s="8" t="s">
        <v>5760</v>
      </c>
      <c r="E883" s="8" t="s">
        <v>5761</v>
      </c>
      <c r="F883" s="8" t="s">
        <v>5762</v>
      </c>
      <c r="G883" s="6" t="s">
        <v>38</v>
      </c>
      <c r="H883" s="6" t="s">
        <v>54</v>
      </c>
      <c r="I883" s="8" t="s">
        <v>40</v>
      </c>
      <c r="J883" s="9">
        <v>1</v>
      </c>
      <c r="K883" s="9">
        <v>268</v>
      </c>
      <c r="L883" s="9">
        <v>2026</v>
      </c>
      <c r="M883" s="8" t="s">
        <v>5763</v>
      </c>
      <c r="N883" s="8" t="s">
        <v>56</v>
      </c>
      <c r="O883" s="8" t="s">
        <v>2468</v>
      </c>
      <c r="P883" s="6" t="s">
        <v>44</v>
      </c>
      <c r="Q883" s="8" t="s">
        <v>45</v>
      </c>
      <c r="R883" s="10" t="s">
        <v>4198</v>
      </c>
      <c r="S883" s="11"/>
      <c r="T883" s="6"/>
      <c r="U883" s="24" t="str">
        <f>HYPERLINK("https://media.infra-m.ru/2212/2212624/cover/2212624.jpg", "Обложка")</f>
        <v>Обложка</v>
      </c>
      <c r="V883" s="24" t="str">
        <f>HYPERLINK("https://znanium.ru/catalog/product/1897061", "Ознакомиться")</f>
        <v>Ознакомиться</v>
      </c>
      <c r="W883" s="8" t="s">
        <v>5764</v>
      </c>
      <c r="X883" s="6"/>
      <c r="Y883" s="6"/>
      <c r="Z883" s="6"/>
      <c r="AA883" s="6" t="s">
        <v>500</v>
      </c>
      <c r="AB883" s="8"/>
    </row>
    <row r="884" spans="1:28" s="4" customFormat="1" ht="42" customHeight="1">
      <c r="A884" s="5">
        <v>0</v>
      </c>
      <c r="B884" s="6" t="s">
        <v>5765</v>
      </c>
      <c r="C884" s="7">
        <v>1182</v>
      </c>
      <c r="D884" s="8" t="s">
        <v>5766</v>
      </c>
      <c r="E884" s="8" t="s">
        <v>5767</v>
      </c>
      <c r="F884" s="8" t="s">
        <v>5768</v>
      </c>
      <c r="G884" s="6" t="s">
        <v>67</v>
      </c>
      <c r="H884" s="6" t="s">
        <v>54</v>
      </c>
      <c r="I884" s="8" t="s">
        <v>40</v>
      </c>
      <c r="J884" s="9">
        <v>1</v>
      </c>
      <c r="K884" s="9">
        <v>168</v>
      </c>
      <c r="L884" s="9">
        <v>2026</v>
      </c>
      <c r="M884" s="8" t="s">
        <v>5769</v>
      </c>
      <c r="N884" s="8" t="s">
        <v>42</v>
      </c>
      <c r="O884" s="8" t="s">
        <v>43</v>
      </c>
      <c r="P884" s="6" t="s">
        <v>1285</v>
      </c>
      <c r="Q884" s="8" t="s">
        <v>45</v>
      </c>
      <c r="R884" s="10" t="s">
        <v>5770</v>
      </c>
      <c r="S884" s="11"/>
      <c r="T884" s="6"/>
      <c r="U884" s="24" t="str">
        <f>HYPERLINK("https://media.infra-m.ru/2221/2221944/cover/2221944.jpg", "Обложка")</f>
        <v>Обложка</v>
      </c>
      <c r="V884" s="24" t="str">
        <f>HYPERLINK("https://znanium.ru/catalog/product/2221944", "Ознакомиться")</f>
        <v>Ознакомиться</v>
      </c>
      <c r="W884" s="8" t="s">
        <v>180</v>
      </c>
      <c r="X884" s="6"/>
      <c r="Y884" s="6"/>
      <c r="Z884" s="6"/>
      <c r="AA884" s="6" t="s">
        <v>2008</v>
      </c>
      <c r="AB884" s="8"/>
    </row>
    <row r="885" spans="1:28" s="4" customFormat="1" ht="51.95" customHeight="1">
      <c r="A885" s="5">
        <v>0</v>
      </c>
      <c r="B885" s="6" t="s">
        <v>5771</v>
      </c>
      <c r="C885" s="7">
        <v>1360</v>
      </c>
      <c r="D885" s="8" t="s">
        <v>5772</v>
      </c>
      <c r="E885" s="8" t="s">
        <v>5773</v>
      </c>
      <c r="F885" s="8" t="s">
        <v>5774</v>
      </c>
      <c r="G885" s="6" t="s">
        <v>90</v>
      </c>
      <c r="H885" s="6" t="s">
        <v>299</v>
      </c>
      <c r="I885" s="8" t="s">
        <v>40</v>
      </c>
      <c r="J885" s="9">
        <v>1</v>
      </c>
      <c r="K885" s="9">
        <v>288</v>
      </c>
      <c r="L885" s="9">
        <v>2024</v>
      </c>
      <c r="M885" s="8" t="s">
        <v>5775</v>
      </c>
      <c r="N885" s="8" t="s">
        <v>42</v>
      </c>
      <c r="O885" s="8" t="s">
        <v>43</v>
      </c>
      <c r="P885" s="6" t="s">
        <v>44</v>
      </c>
      <c r="Q885" s="8" t="s">
        <v>45</v>
      </c>
      <c r="R885" s="10" t="s">
        <v>5776</v>
      </c>
      <c r="S885" s="11" t="s">
        <v>1909</v>
      </c>
      <c r="T885" s="6" t="s">
        <v>118</v>
      </c>
      <c r="U885" s="24" t="str">
        <f>HYPERLINK("https://media.infra-m.ru/2151/2151380/cover/2151380.jpg", "Обложка")</f>
        <v>Обложка</v>
      </c>
      <c r="V885" s="24" t="str">
        <f>HYPERLINK("https://znanium.ru/catalog/product/2151380", "Ознакомиться")</f>
        <v>Ознакомиться</v>
      </c>
      <c r="W885" s="8" t="s">
        <v>2653</v>
      </c>
      <c r="X885" s="6"/>
      <c r="Y885" s="6" t="s">
        <v>30</v>
      </c>
      <c r="Z885" s="6"/>
      <c r="AA885" s="6" t="s">
        <v>304</v>
      </c>
      <c r="AB885" s="8"/>
    </row>
    <row r="886" spans="1:28" s="4" customFormat="1" ht="51.95" customHeight="1">
      <c r="A886" s="5">
        <v>0</v>
      </c>
      <c r="B886" s="6" t="s">
        <v>5777</v>
      </c>
      <c r="C886" s="7">
        <v>1500</v>
      </c>
      <c r="D886" s="8" t="s">
        <v>5778</v>
      </c>
      <c r="E886" s="8" t="s">
        <v>5779</v>
      </c>
      <c r="F886" s="8" t="s">
        <v>5780</v>
      </c>
      <c r="G886" s="6" t="s">
        <v>90</v>
      </c>
      <c r="H886" s="6" t="s">
        <v>39</v>
      </c>
      <c r="I886" s="8" t="s">
        <v>40</v>
      </c>
      <c r="J886" s="9">
        <v>1</v>
      </c>
      <c r="K886" s="9">
        <v>288</v>
      </c>
      <c r="L886" s="9">
        <v>2026</v>
      </c>
      <c r="M886" s="8" t="s">
        <v>5781</v>
      </c>
      <c r="N886" s="8" t="s">
        <v>42</v>
      </c>
      <c r="O886" s="8" t="s">
        <v>319</v>
      </c>
      <c r="P886" s="6" t="s">
        <v>44</v>
      </c>
      <c r="Q886" s="8" t="s">
        <v>45</v>
      </c>
      <c r="R886" s="10" t="s">
        <v>5378</v>
      </c>
      <c r="S886" s="11" t="s">
        <v>321</v>
      </c>
      <c r="T886" s="6"/>
      <c r="U886" s="24" t="str">
        <f>HYPERLINK("https://media.infra-m.ru/2220/2220930/cover/2220930.jpg", "Обложка")</f>
        <v>Обложка</v>
      </c>
      <c r="V886" s="24" t="str">
        <f>HYPERLINK("https://znanium.ru/catalog/product/2220930", "Ознакомиться")</f>
        <v>Ознакомиться</v>
      </c>
      <c r="W886" s="8" t="s">
        <v>413</v>
      </c>
      <c r="X886" s="6"/>
      <c r="Y886" s="6"/>
      <c r="Z886" s="6" t="s">
        <v>48</v>
      </c>
      <c r="AA886" s="6" t="s">
        <v>111</v>
      </c>
      <c r="AB886" s="8"/>
    </row>
    <row r="887" spans="1:28" s="4" customFormat="1" ht="51.95" customHeight="1">
      <c r="A887" s="5">
        <v>0</v>
      </c>
      <c r="B887" s="6" t="s">
        <v>5782</v>
      </c>
      <c r="C887" s="7">
        <v>1982</v>
      </c>
      <c r="D887" s="8" t="s">
        <v>5783</v>
      </c>
      <c r="E887" s="8" t="s">
        <v>5784</v>
      </c>
      <c r="F887" s="8" t="s">
        <v>5785</v>
      </c>
      <c r="G887" s="6" t="s">
        <v>90</v>
      </c>
      <c r="H887" s="6" t="s">
        <v>39</v>
      </c>
      <c r="I887" s="8" t="s">
        <v>40</v>
      </c>
      <c r="J887" s="9">
        <v>1</v>
      </c>
      <c r="K887" s="9">
        <v>304</v>
      </c>
      <c r="L887" s="9">
        <v>2025</v>
      </c>
      <c r="M887" s="8" t="s">
        <v>5786</v>
      </c>
      <c r="N887" s="8" t="s">
        <v>42</v>
      </c>
      <c r="O887" s="8" t="s">
        <v>43</v>
      </c>
      <c r="P887" s="6" t="s">
        <v>44</v>
      </c>
      <c r="Q887" s="8" t="s">
        <v>45</v>
      </c>
      <c r="R887" s="10" t="s">
        <v>1322</v>
      </c>
      <c r="S887" s="11" t="s">
        <v>5787</v>
      </c>
      <c r="T887" s="6"/>
      <c r="U887" s="24" t="str">
        <f>HYPERLINK("https://media.infra-m.ru/2160/2160327/cover/2160327.jpg", "Обложка")</f>
        <v>Обложка</v>
      </c>
      <c r="V887" s="24" t="str">
        <f>HYPERLINK("https://znanium.ru/catalog/product/2160327", "Ознакомиться")</f>
        <v>Ознакомиться</v>
      </c>
      <c r="W887" s="8" t="s">
        <v>5788</v>
      </c>
      <c r="X887" s="6"/>
      <c r="Y887" s="6"/>
      <c r="Z887" s="6" t="s">
        <v>48</v>
      </c>
      <c r="AA887" s="6" t="s">
        <v>111</v>
      </c>
      <c r="AB887" s="8"/>
    </row>
    <row r="888" spans="1:28" s="4" customFormat="1" ht="51.95" customHeight="1">
      <c r="A888" s="5">
        <v>0</v>
      </c>
      <c r="B888" s="6" t="s">
        <v>5789</v>
      </c>
      <c r="C888" s="13">
        <v>960</v>
      </c>
      <c r="D888" s="8" t="s">
        <v>5790</v>
      </c>
      <c r="E888" s="8" t="s">
        <v>5791</v>
      </c>
      <c r="F888" s="8" t="s">
        <v>5792</v>
      </c>
      <c r="G888" s="6" t="s">
        <v>90</v>
      </c>
      <c r="H888" s="6" t="s">
        <v>39</v>
      </c>
      <c r="I888" s="8" t="s">
        <v>69</v>
      </c>
      <c r="J888" s="9">
        <v>1</v>
      </c>
      <c r="K888" s="9">
        <v>192</v>
      </c>
      <c r="L888" s="9">
        <v>2024</v>
      </c>
      <c r="M888" s="8" t="s">
        <v>5793</v>
      </c>
      <c r="N888" s="8" t="s">
        <v>56</v>
      </c>
      <c r="O888" s="8" t="s">
        <v>3101</v>
      </c>
      <c r="P888" s="6" t="s">
        <v>44</v>
      </c>
      <c r="Q888" s="8" t="s">
        <v>45</v>
      </c>
      <c r="R888" s="10" t="s">
        <v>5283</v>
      </c>
      <c r="S888" s="11" t="s">
        <v>2555</v>
      </c>
      <c r="T888" s="6"/>
      <c r="U888" s="24" t="str">
        <f>HYPERLINK("https://media.infra-m.ru/2161/2161052/cover/2161052.jpg", "Обложка")</f>
        <v>Обложка</v>
      </c>
      <c r="V888" s="24" t="str">
        <f>HYPERLINK("https://znanium.ru/catalog/product/1869343", "Ознакомиться")</f>
        <v>Ознакомиться</v>
      </c>
      <c r="W888" s="8" t="s">
        <v>5794</v>
      </c>
      <c r="X888" s="6"/>
      <c r="Y888" s="6"/>
      <c r="Z888" s="6"/>
      <c r="AA888" s="6" t="s">
        <v>261</v>
      </c>
      <c r="AB888" s="8"/>
    </row>
    <row r="889" spans="1:28" s="4" customFormat="1" ht="51.95" customHeight="1">
      <c r="A889" s="5">
        <v>0</v>
      </c>
      <c r="B889" s="6" t="s">
        <v>5795</v>
      </c>
      <c r="C889" s="7">
        <v>1150</v>
      </c>
      <c r="D889" s="8" t="s">
        <v>5796</v>
      </c>
      <c r="E889" s="8" t="s">
        <v>5797</v>
      </c>
      <c r="F889" s="8" t="s">
        <v>3977</v>
      </c>
      <c r="G889" s="6" t="s">
        <v>90</v>
      </c>
      <c r="H889" s="6" t="s">
        <v>54</v>
      </c>
      <c r="I889" s="8" t="s">
        <v>40</v>
      </c>
      <c r="J889" s="9">
        <v>1</v>
      </c>
      <c r="K889" s="9">
        <v>255</v>
      </c>
      <c r="L889" s="9">
        <v>2023</v>
      </c>
      <c r="M889" s="8" t="s">
        <v>5798</v>
      </c>
      <c r="N889" s="8" t="s">
        <v>56</v>
      </c>
      <c r="O889" s="8" t="s">
        <v>57</v>
      </c>
      <c r="P889" s="6" t="s">
        <v>44</v>
      </c>
      <c r="Q889" s="8" t="s">
        <v>45</v>
      </c>
      <c r="R889" s="10" t="s">
        <v>5799</v>
      </c>
      <c r="S889" s="11" t="s">
        <v>3338</v>
      </c>
      <c r="T889" s="6"/>
      <c r="U889" s="24" t="str">
        <f>HYPERLINK("https://media.infra-m.ru/1931/1931473/cover/1931473.jpg", "Обложка")</f>
        <v>Обложка</v>
      </c>
      <c r="V889" s="24" t="str">
        <f>HYPERLINK("https://znanium.ru/catalog/product/1931473", "Ознакомиться")</f>
        <v>Ознакомиться</v>
      </c>
      <c r="W889" s="8" t="s">
        <v>3980</v>
      </c>
      <c r="X889" s="6"/>
      <c r="Y889" s="6" t="s">
        <v>30</v>
      </c>
      <c r="Z889" s="6" t="s">
        <v>207</v>
      </c>
      <c r="AA889" s="6" t="s">
        <v>5800</v>
      </c>
      <c r="AB889" s="8"/>
    </row>
    <row r="890" spans="1:28" s="4" customFormat="1" ht="51.95" customHeight="1">
      <c r="A890" s="5">
        <v>0</v>
      </c>
      <c r="B890" s="6" t="s">
        <v>5801</v>
      </c>
      <c r="C890" s="13">
        <v>854</v>
      </c>
      <c r="D890" s="8" t="s">
        <v>5802</v>
      </c>
      <c r="E890" s="8" t="s">
        <v>5803</v>
      </c>
      <c r="F890" s="8" t="s">
        <v>1775</v>
      </c>
      <c r="G890" s="6" t="s">
        <v>38</v>
      </c>
      <c r="H890" s="6" t="s">
        <v>54</v>
      </c>
      <c r="I890" s="8" t="s">
        <v>40</v>
      </c>
      <c r="J890" s="9">
        <v>1</v>
      </c>
      <c r="K890" s="9">
        <v>155</v>
      </c>
      <c r="L890" s="9">
        <v>2026</v>
      </c>
      <c r="M890" s="8" t="s">
        <v>5804</v>
      </c>
      <c r="N890" s="8" t="s">
        <v>125</v>
      </c>
      <c r="O890" s="8" t="s">
        <v>432</v>
      </c>
      <c r="P890" s="6" t="s">
        <v>44</v>
      </c>
      <c r="Q890" s="8" t="s">
        <v>45</v>
      </c>
      <c r="R890" s="10" t="s">
        <v>5805</v>
      </c>
      <c r="S890" s="11"/>
      <c r="T890" s="6"/>
      <c r="U890" s="24" t="str">
        <f>HYPERLINK("https://media.infra-m.ru/2217/2217595/cover/2217595.jpg", "Обложка")</f>
        <v>Обложка</v>
      </c>
      <c r="V890" s="24" t="str">
        <f>HYPERLINK("https://znanium.ru/catalog/product/2179487", "Ознакомиться")</f>
        <v>Ознакомиться</v>
      </c>
      <c r="W890" s="8" t="s">
        <v>73</v>
      </c>
      <c r="X890" s="6"/>
      <c r="Y890" s="6"/>
      <c r="Z890" s="6"/>
      <c r="AA890" s="6" t="s">
        <v>354</v>
      </c>
      <c r="AB890" s="8" t="s">
        <v>232</v>
      </c>
    </row>
    <row r="891" spans="1:28" s="4" customFormat="1" ht="51.95" customHeight="1">
      <c r="A891" s="5">
        <v>0</v>
      </c>
      <c r="B891" s="6" t="s">
        <v>5806</v>
      </c>
      <c r="C891" s="7">
        <v>2970</v>
      </c>
      <c r="D891" s="8" t="s">
        <v>5807</v>
      </c>
      <c r="E891" s="8" t="s">
        <v>5808</v>
      </c>
      <c r="F891" s="8" t="s">
        <v>5809</v>
      </c>
      <c r="G891" s="6" t="s">
        <v>38</v>
      </c>
      <c r="H891" s="6" t="s">
        <v>54</v>
      </c>
      <c r="I891" s="8" t="s">
        <v>40</v>
      </c>
      <c r="J891" s="9">
        <v>1</v>
      </c>
      <c r="K891" s="9">
        <v>541</v>
      </c>
      <c r="L891" s="9">
        <v>2026</v>
      </c>
      <c r="M891" s="8" t="s">
        <v>5810</v>
      </c>
      <c r="N891" s="8" t="s">
        <v>125</v>
      </c>
      <c r="O891" s="8" t="s">
        <v>432</v>
      </c>
      <c r="P891" s="6" t="s">
        <v>44</v>
      </c>
      <c r="Q891" s="8" t="s">
        <v>45</v>
      </c>
      <c r="R891" s="10" t="s">
        <v>908</v>
      </c>
      <c r="S891" s="11" t="s">
        <v>5811</v>
      </c>
      <c r="T891" s="6"/>
      <c r="U891" s="24" t="str">
        <f>HYPERLINK("https://media.infra-m.ru/2227/2227842/cover/2227842.jpg", "Обложка")</f>
        <v>Обложка</v>
      </c>
      <c r="V891" s="24" t="str">
        <f>HYPERLINK("https://znanium.ru/catalog/product/1048802", "Ознакомиться")</f>
        <v>Ознакомиться</v>
      </c>
      <c r="W891" s="8" t="s">
        <v>1195</v>
      </c>
      <c r="X891" s="6"/>
      <c r="Y891" s="6"/>
      <c r="Z891" s="6"/>
      <c r="AA891" s="6" t="s">
        <v>999</v>
      </c>
      <c r="AB891" s="8" t="s">
        <v>869</v>
      </c>
    </row>
    <row r="892" spans="1:28" s="4" customFormat="1" ht="51.95" customHeight="1">
      <c r="A892" s="5">
        <v>0</v>
      </c>
      <c r="B892" s="6" t="s">
        <v>5812</v>
      </c>
      <c r="C892" s="7">
        <v>1834</v>
      </c>
      <c r="D892" s="8" t="s">
        <v>5813</v>
      </c>
      <c r="E892" s="8" t="s">
        <v>5814</v>
      </c>
      <c r="F892" s="8" t="s">
        <v>5815</v>
      </c>
      <c r="G892" s="6" t="s">
        <v>90</v>
      </c>
      <c r="H892" s="6" t="s">
        <v>54</v>
      </c>
      <c r="I892" s="8" t="s">
        <v>40</v>
      </c>
      <c r="J892" s="9">
        <v>1</v>
      </c>
      <c r="K892" s="9">
        <v>352</v>
      </c>
      <c r="L892" s="9">
        <v>2025</v>
      </c>
      <c r="M892" s="8" t="s">
        <v>5816</v>
      </c>
      <c r="N892" s="8" t="s">
        <v>125</v>
      </c>
      <c r="O892" s="8" t="s">
        <v>432</v>
      </c>
      <c r="P892" s="6" t="s">
        <v>58</v>
      </c>
      <c r="Q892" s="8" t="s">
        <v>45</v>
      </c>
      <c r="R892" s="10" t="s">
        <v>908</v>
      </c>
      <c r="S892" s="11" t="s">
        <v>5817</v>
      </c>
      <c r="T892" s="6"/>
      <c r="U892" s="24" t="str">
        <f>HYPERLINK("https://media.infra-m.ru/2208/2208883/cover/2208883.jpg", "Обложка")</f>
        <v>Обложка</v>
      </c>
      <c r="V892" s="24" t="str">
        <f>HYPERLINK("https://znanium.ru/catalog/product/2161977", "Ознакомиться")</f>
        <v>Ознакомиться</v>
      </c>
      <c r="W892" s="8" t="s">
        <v>5818</v>
      </c>
      <c r="X892" s="6"/>
      <c r="Y892" s="6"/>
      <c r="Z892" s="6"/>
      <c r="AA892" s="6" t="s">
        <v>740</v>
      </c>
      <c r="AB892" s="8" t="s">
        <v>401</v>
      </c>
    </row>
    <row r="893" spans="1:28" s="4" customFormat="1" ht="51.95" customHeight="1">
      <c r="A893" s="5">
        <v>0</v>
      </c>
      <c r="B893" s="6" t="s">
        <v>5819</v>
      </c>
      <c r="C893" s="7">
        <v>1210</v>
      </c>
      <c r="D893" s="8" t="s">
        <v>5820</v>
      </c>
      <c r="E893" s="8" t="s">
        <v>5821</v>
      </c>
      <c r="F893" s="8" t="s">
        <v>1199</v>
      </c>
      <c r="G893" s="6" t="s">
        <v>90</v>
      </c>
      <c r="H893" s="6" t="s">
        <v>54</v>
      </c>
      <c r="I893" s="8" t="s">
        <v>40</v>
      </c>
      <c r="J893" s="9">
        <v>1</v>
      </c>
      <c r="K893" s="9">
        <v>319</v>
      </c>
      <c r="L893" s="9">
        <v>2022</v>
      </c>
      <c r="M893" s="8" t="s">
        <v>5822</v>
      </c>
      <c r="N893" s="8" t="s">
        <v>125</v>
      </c>
      <c r="O893" s="8" t="s">
        <v>432</v>
      </c>
      <c r="P893" s="6" t="s">
        <v>58</v>
      </c>
      <c r="Q893" s="8" t="s">
        <v>45</v>
      </c>
      <c r="R893" s="10" t="s">
        <v>908</v>
      </c>
      <c r="S893" s="11" t="s">
        <v>5823</v>
      </c>
      <c r="T893" s="6"/>
      <c r="U893" s="24" t="str">
        <f>HYPERLINK("https://media.infra-m.ru/1854/1854213/cover/1854213.jpg", "Обложка")</f>
        <v>Обложка</v>
      </c>
      <c r="V893" s="24" t="str">
        <f>HYPERLINK("https://znanium.ru/catalog/product/1854213", "Ознакомиться")</f>
        <v>Ознакомиться</v>
      </c>
      <c r="W893" s="8" t="s">
        <v>172</v>
      </c>
      <c r="X893" s="6"/>
      <c r="Y893" s="6"/>
      <c r="Z893" s="6"/>
      <c r="AA893" s="6" t="s">
        <v>111</v>
      </c>
      <c r="AB893" s="8"/>
    </row>
    <row r="894" spans="1:28" s="4" customFormat="1" ht="51.95" customHeight="1">
      <c r="A894" s="5">
        <v>0</v>
      </c>
      <c r="B894" s="6" t="s">
        <v>5824</v>
      </c>
      <c r="C894" s="7">
        <v>1284</v>
      </c>
      <c r="D894" s="8" t="s">
        <v>5825</v>
      </c>
      <c r="E894" s="8" t="s">
        <v>5826</v>
      </c>
      <c r="F894" s="8" t="s">
        <v>5827</v>
      </c>
      <c r="G894" s="6" t="s">
        <v>38</v>
      </c>
      <c r="H894" s="6" t="s">
        <v>54</v>
      </c>
      <c r="I894" s="8" t="s">
        <v>40</v>
      </c>
      <c r="J894" s="9">
        <v>1</v>
      </c>
      <c r="K894" s="9">
        <v>241</v>
      </c>
      <c r="L894" s="9">
        <v>2026</v>
      </c>
      <c r="M894" s="8" t="s">
        <v>5828</v>
      </c>
      <c r="N894" s="8" t="s">
        <v>125</v>
      </c>
      <c r="O894" s="8" t="s">
        <v>432</v>
      </c>
      <c r="P894" s="6" t="s">
        <v>58</v>
      </c>
      <c r="Q894" s="8" t="s">
        <v>45</v>
      </c>
      <c r="R894" s="10" t="s">
        <v>908</v>
      </c>
      <c r="S894" s="11" t="s">
        <v>5829</v>
      </c>
      <c r="T894" s="6"/>
      <c r="U894" s="24" t="str">
        <f>HYPERLINK("https://media.infra-m.ru/2223/2223170/cover/2223170.jpg", "Обложка")</f>
        <v>Обложка</v>
      </c>
      <c r="V894" s="24" t="str">
        <f>HYPERLINK("https://znanium.ru/catalog/product/2181314", "Ознакомиться")</f>
        <v>Ознакомиться</v>
      </c>
      <c r="W894" s="8" t="s">
        <v>172</v>
      </c>
      <c r="X894" s="6"/>
      <c r="Y894" s="6"/>
      <c r="Z894" s="6"/>
      <c r="AA894" s="6" t="s">
        <v>740</v>
      </c>
      <c r="AB894" s="8"/>
    </row>
    <row r="895" spans="1:28" s="4" customFormat="1" ht="51.95" customHeight="1">
      <c r="A895" s="5">
        <v>0</v>
      </c>
      <c r="B895" s="6" t="s">
        <v>5830</v>
      </c>
      <c r="C895" s="13">
        <v>980</v>
      </c>
      <c r="D895" s="8" t="s">
        <v>5831</v>
      </c>
      <c r="E895" s="8" t="s">
        <v>5832</v>
      </c>
      <c r="F895" s="8" t="s">
        <v>4424</v>
      </c>
      <c r="G895" s="6" t="s">
        <v>67</v>
      </c>
      <c r="H895" s="6" t="s">
        <v>54</v>
      </c>
      <c r="I895" s="8" t="s">
        <v>40</v>
      </c>
      <c r="J895" s="9">
        <v>1</v>
      </c>
      <c r="K895" s="9">
        <v>176</v>
      </c>
      <c r="L895" s="9">
        <v>2026</v>
      </c>
      <c r="M895" s="8" t="s">
        <v>5833</v>
      </c>
      <c r="N895" s="8" t="s">
        <v>125</v>
      </c>
      <c r="O895" s="8" t="s">
        <v>126</v>
      </c>
      <c r="P895" s="6" t="s">
        <v>44</v>
      </c>
      <c r="Q895" s="8" t="s">
        <v>45</v>
      </c>
      <c r="R895" s="10" t="s">
        <v>5834</v>
      </c>
      <c r="S895" s="11" t="s">
        <v>276</v>
      </c>
      <c r="T895" s="6"/>
      <c r="U895" s="24" t="str">
        <f>HYPERLINK("https://media.infra-m.ru/2223/2223573/cover/2223573.jpg", "Обложка")</f>
        <v>Обложка</v>
      </c>
      <c r="V895" s="24" t="str">
        <f>HYPERLINK("https://znanium.ru/catalog/product/2223573", "Ознакомиться")</f>
        <v>Ознакомиться</v>
      </c>
      <c r="W895" s="8" t="s">
        <v>4322</v>
      </c>
      <c r="X895" s="6"/>
      <c r="Y895" s="6" t="s">
        <v>30</v>
      </c>
      <c r="Z895" s="6"/>
      <c r="AA895" s="6" t="s">
        <v>835</v>
      </c>
      <c r="AB895" s="8"/>
    </row>
    <row r="896" spans="1:28" s="4" customFormat="1" ht="51.95" customHeight="1">
      <c r="A896" s="5">
        <v>0</v>
      </c>
      <c r="B896" s="6" t="s">
        <v>5835</v>
      </c>
      <c r="C896" s="13">
        <v>840</v>
      </c>
      <c r="D896" s="8" t="s">
        <v>5836</v>
      </c>
      <c r="E896" s="8" t="s">
        <v>5837</v>
      </c>
      <c r="F896" s="8" t="s">
        <v>5838</v>
      </c>
      <c r="G896" s="6" t="s">
        <v>90</v>
      </c>
      <c r="H896" s="6" t="s">
        <v>39</v>
      </c>
      <c r="I896" s="8" t="s">
        <v>40</v>
      </c>
      <c r="J896" s="9">
        <v>1</v>
      </c>
      <c r="K896" s="9">
        <v>160</v>
      </c>
      <c r="L896" s="9">
        <v>2025</v>
      </c>
      <c r="M896" s="8" t="s">
        <v>5839</v>
      </c>
      <c r="N896" s="8" t="s">
        <v>1306</v>
      </c>
      <c r="O896" s="8" t="s">
        <v>1307</v>
      </c>
      <c r="P896" s="6" t="s">
        <v>1285</v>
      </c>
      <c r="Q896" s="8" t="s">
        <v>45</v>
      </c>
      <c r="R896" s="10" t="s">
        <v>5840</v>
      </c>
      <c r="S896" s="11" t="s">
        <v>5841</v>
      </c>
      <c r="T896" s="6"/>
      <c r="U896" s="24" t="str">
        <f>HYPERLINK("https://media.infra-m.ru/2193/2193224/cover/2193224.jpg", "Обложка")</f>
        <v>Обложка</v>
      </c>
      <c r="V896" s="24" t="str">
        <f>HYPERLINK("https://znanium.ru/catalog/product/2193224", "Ознакомиться")</f>
        <v>Ознакомиться</v>
      </c>
      <c r="W896" s="8" t="s">
        <v>3140</v>
      </c>
      <c r="X896" s="6"/>
      <c r="Y896" s="6"/>
      <c r="Z896" s="6" t="s">
        <v>48</v>
      </c>
      <c r="AA896" s="6" t="s">
        <v>740</v>
      </c>
      <c r="AB896" s="8"/>
    </row>
    <row r="897" spans="1:28" s="4" customFormat="1" ht="51.95" customHeight="1">
      <c r="A897" s="5">
        <v>0</v>
      </c>
      <c r="B897" s="6" t="s">
        <v>5842</v>
      </c>
      <c r="C897" s="7">
        <v>1664</v>
      </c>
      <c r="D897" s="8" t="s">
        <v>5843</v>
      </c>
      <c r="E897" s="8" t="s">
        <v>5844</v>
      </c>
      <c r="F897" s="8" t="s">
        <v>5845</v>
      </c>
      <c r="G897" s="6" t="s">
        <v>90</v>
      </c>
      <c r="H897" s="6" t="s">
        <v>54</v>
      </c>
      <c r="I897" s="8" t="s">
        <v>1997</v>
      </c>
      <c r="J897" s="9">
        <v>1</v>
      </c>
      <c r="K897" s="9">
        <v>354</v>
      </c>
      <c r="L897" s="9">
        <v>2024</v>
      </c>
      <c r="M897" s="8" t="s">
        <v>5846</v>
      </c>
      <c r="N897" s="8" t="s">
        <v>42</v>
      </c>
      <c r="O897" s="8" t="s">
        <v>169</v>
      </c>
      <c r="P897" s="6" t="s">
        <v>44</v>
      </c>
      <c r="Q897" s="8" t="s">
        <v>45</v>
      </c>
      <c r="R897" s="10" t="s">
        <v>2664</v>
      </c>
      <c r="S897" s="11" t="s">
        <v>3792</v>
      </c>
      <c r="T897" s="6"/>
      <c r="U897" s="24" t="str">
        <f>HYPERLINK("https://media.infra-m.ru/2136/2136961/cover/2136961.jpg", "Обложка")</f>
        <v>Обложка</v>
      </c>
      <c r="V897" s="12"/>
      <c r="W897" s="8" t="s">
        <v>2000</v>
      </c>
      <c r="X897" s="6"/>
      <c r="Y897" s="6"/>
      <c r="Z897" s="6" t="s">
        <v>48</v>
      </c>
      <c r="AA897" s="6" t="s">
        <v>740</v>
      </c>
      <c r="AB897" s="8"/>
    </row>
    <row r="898" spans="1:28" s="4" customFormat="1" ht="44.1" customHeight="1">
      <c r="A898" s="5">
        <v>0</v>
      </c>
      <c r="B898" s="6" t="s">
        <v>5847</v>
      </c>
      <c r="C898" s="7">
        <v>1484</v>
      </c>
      <c r="D898" s="8" t="s">
        <v>5848</v>
      </c>
      <c r="E898" s="8" t="s">
        <v>5849</v>
      </c>
      <c r="F898" s="8" t="s">
        <v>5850</v>
      </c>
      <c r="G898" s="6" t="s">
        <v>90</v>
      </c>
      <c r="H898" s="6" t="s">
        <v>824</v>
      </c>
      <c r="I898" s="8" t="s">
        <v>40</v>
      </c>
      <c r="J898" s="9">
        <v>1</v>
      </c>
      <c r="K898" s="9">
        <v>272</v>
      </c>
      <c r="L898" s="9">
        <v>2026</v>
      </c>
      <c r="M898" s="8" t="s">
        <v>5851</v>
      </c>
      <c r="N898" s="8" t="s">
        <v>42</v>
      </c>
      <c r="O898" s="8" t="s">
        <v>219</v>
      </c>
      <c r="P898" s="6" t="s">
        <v>58</v>
      </c>
      <c r="Q898" s="8" t="s">
        <v>45</v>
      </c>
      <c r="R898" s="10" t="s">
        <v>5852</v>
      </c>
      <c r="S898" s="11"/>
      <c r="T898" s="6"/>
      <c r="U898" s="24" t="str">
        <f>HYPERLINK("https://media.infra-m.ru/2223/2223612/cover/2223612.jpg", "Обложка")</f>
        <v>Обложка</v>
      </c>
      <c r="V898" s="24" t="str">
        <f>HYPERLINK("https://znanium.ru/catalog/product/1912895", "Ознакомиться")</f>
        <v>Ознакомиться</v>
      </c>
      <c r="W898" s="8" t="s">
        <v>2309</v>
      </c>
      <c r="X898" s="6"/>
      <c r="Y898" s="6"/>
      <c r="Z898" s="6"/>
      <c r="AA898" s="6" t="s">
        <v>766</v>
      </c>
      <c r="AB898" s="8"/>
    </row>
    <row r="899" spans="1:28" s="4" customFormat="1" ht="51.95" customHeight="1">
      <c r="A899" s="5">
        <v>0</v>
      </c>
      <c r="B899" s="6" t="s">
        <v>5853</v>
      </c>
      <c r="C899" s="7">
        <v>1514</v>
      </c>
      <c r="D899" s="8" t="s">
        <v>5854</v>
      </c>
      <c r="E899" s="8" t="s">
        <v>5855</v>
      </c>
      <c r="F899" s="8" t="s">
        <v>5856</v>
      </c>
      <c r="G899" s="6" t="s">
        <v>38</v>
      </c>
      <c r="H899" s="6" t="s">
        <v>299</v>
      </c>
      <c r="I899" s="8" t="s">
        <v>40</v>
      </c>
      <c r="J899" s="9">
        <v>1</v>
      </c>
      <c r="K899" s="9">
        <v>335</v>
      </c>
      <c r="L899" s="9">
        <v>2023</v>
      </c>
      <c r="M899" s="8" t="s">
        <v>5857</v>
      </c>
      <c r="N899" s="8" t="s">
        <v>42</v>
      </c>
      <c r="O899" s="8" t="s">
        <v>43</v>
      </c>
      <c r="P899" s="6" t="s">
        <v>44</v>
      </c>
      <c r="Q899" s="8" t="s">
        <v>45</v>
      </c>
      <c r="R899" s="10" t="s">
        <v>2266</v>
      </c>
      <c r="S899" s="11" t="s">
        <v>943</v>
      </c>
      <c r="T899" s="6"/>
      <c r="U899" s="24" t="str">
        <f>HYPERLINK("https://media.infra-m.ru/2045/2045975/cover/2045975.jpg", "Обложка")</f>
        <v>Обложка</v>
      </c>
      <c r="V899" s="24" t="str">
        <f>HYPERLINK("https://znanium.ru/catalog/product/1189340", "Ознакомиться")</f>
        <v>Ознакомиться</v>
      </c>
      <c r="W899" s="8" t="s">
        <v>834</v>
      </c>
      <c r="X899" s="6"/>
      <c r="Y899" s="6"/>
      <c r="Z899" s="6" t="s">
        <v>48</v>
      </c>
      <c r="AA899" s="6" t="s">
        <v>740</v>
      </c>
      <c r="AB899" s="8"/>
    </row>
    <row r="900" spans="1:28" s="4" customFormat="1" ht="51.95" customHeight="1">
      <c r="A900" s="5">
        <v>0</v>
      </c>
      <c r="B900" s="6" t="s">
        <v>5858</v>
      </c>
      <c r="C900" s="7">
        <v>1220</v>
      </c>
      <c r="D900" s="8" t="s">
        <v>5859</v>
      </c>
      <c r="E900" s="8" t="s">
        <v>5860</v>
      </c>
      <c r="F900" s="8" t="s">
        <v>5861</v>
      </c>
      <c r="G900" s="6" t="s">
        <v>38</v>
      </c>
      <c r="H900" s="6" t="s">
        <v>299</v>
      </c>
      <c r="I900" s="8" t="s">
        <v>40</v>
      </c>
      <c r="J900" s="9">
        <v>1</v>
      </c>
      <c r="K900" s="9">
        <v>320</v>
      </c>
      <c r="L900" s="9">
        <v>2022</v>
      </c>
      <c r="M900" s="8" t="s">
        <v>5862</v>
      </c>
      <c r="N900" s="8" t="s">
        <v>42</v>
      </c>
      <c r="O900" s="8" t="s">
        <v>43</v>
      </c>
      <c r="P900" s="6" t="s">
        <v>44</v>
      </c>
      <c r="Q900" s="8" t="s">
        <v>45</v>
      </c>
      <c r="R900" s="10" t="s">
        <v>464</v>
      </c>
      <c r="S900" s="11" t="s">
        <v>5863</v>
      </c>
      <c r="T900" s="6"/>
      <c r="U900" s="24" t="str">
        <f>HYPERLINK("https://media.infra-m.ru/1862/1862906/cover/1862906.jpg", "Обложка")</f>
        <v>Обложка</v>
      </c>
      <c r="V900" s="24" t="str">
        <f>HYPERLINK("https://znanium.ru/catalog/product/1862906", "Ознакомиться")</f>
        <v>Ознакомиться</v>
      </c>
      <c r="W900" s="8" t="s">
        <v>2152</v>
      </c>
      <c r="X900" s="6"/>
      <c r="Y900" s="6"/>
      <c r="Z900" s="6" t="s">
        <v>48</v>
      </c>
      <c r="AA900" s="6" t="s">
        <v>2226</v>
      </c>
      <c r="AB900" s="8"/>
    </row>
    <row r="901" spans="1:28" s="4" customFormat="1" ht="51.95" customHeight="1">
      <c r="A901" s="5">
        <v>0</v>
      </c>
      <c r="B901" s="6" t="s">
        <v>5864</v>
      </c>
      <c r="C901" s="7">
        <v>2187</v>
      </c>
      <c r="D901" s="8" t="s">
        <v>5865</v>
      </c>
      <c r="E901" s="8" t="s">
        <v>5866</v>
      </c>
      <c r="F901" s="8" t="s">
        <v>1314</v>
      </c>
      <c r="G901" s="6" t="s">
        <v>90</v>
      </c>
      <c r="H901" s="6" t="s">
        <v>39</v>
      </c>
      <c r="I901" s="8" t="s">
        <v>40</v>
      </c>
      <c r="J901" s="9">
        <v>1</v>
      </c>
      <c r="K901" s="9">
        <v>336</v>
      </c>
      <c r="L901" s="9">
        <v>2025</v>
      </c>
      <c r="M901" s="8" t="s">
        <v>5867</v>
      </c>
      <c r="N901" s="8" t="s">
        <v>42</v>
      </c>
      <c r="O901" s="8" t="s">
        <v>43</v>
      </c>
      <c r="P901" s="6" t="s">
        <v>44</v>
      </c>
      <c r="Q901" s="8" t="s">
        <v>45</v>
      </c>
      <c r="R901" s="10" t="s">
        <v>5023</v>
      </c>
      <c r="S901" s="11" t="s">
        <v>963</v>
      </c>
      <c r="T901" s="6"/>
      <c r="U901" s="24" t="str">
        <f>HYPERLINK("https://media.infra-m.ru/2165/2165081/cover/2165081.jpg", "Обложка")</f>
        <v>Обложка</v>
      </c>
      <c r="V901" s="24" t="str">
        <f>HYPERLINK("https://znanium.ru/catalog/product/1216485", "Ознакомиться")</f>
        <v>Ознакомиться</v>
      </c>
      <c r="W901" s="8" t="s">
        <v>1317</v>
      </c>
      <c r="X901" s="6"/>
      <c r="Y901" s="6"/>
      <c r="Z901" s="6" t="s">
        <v>48</v>
      </c>
      <c r="AA901" s="6" t="s">
        <v>111</v>
      </c>
      <c r="AB901" s="8"/>
    </row>
    <row r="902" spans="1:28" s="4" customFormat="1" ht="51.95" customHeight="1">
      <c r="A902" s="5">
        <v>0</v>
      </c>
      <c r="B902" s="6" t="s">
        <v>5868</v>
      </c>
      <c r="C902" s="7">
        <v>2230</v>
      </c>
      <c r="D902" s="8" t="s">
        <v>5869</v>
      </c>
      <c r="E902" s="8" t="s">
        <v>5870</v>
      </c>
      <c r="F902" s="8" t="s">
        <v>5871</v>
      </c>
      <c r="G902" s="6" t="s">
        <v>90</v>
      </c>
      <c r="H902" s="6" t="s">
        <v>299</v>
      </c>
      <c r="I902" s="8" t="s">
        <v>40</v>
      </c>
      <c r="J902" s="9">
        <v>1</v>
      </c>
      <c r="K902" s="9">
        <v>496</v>
      </c>
      <c r="L902" s="9">
        <v>2023</v>
      </c>
      <c r="M902" s="8" t="s">
        <v>5872</v>
      </c>
      <c r="N902" s="8" t="s">
        <v>42</v>
      </c>
      <c r="O902" s="8" t="s">
        <v>43</v>
      </c>
      <c r="P902" s="6" t="s">
        <v>44</v>
      </c>
      <c r="Q902" s="8" t="s">
        <v>45</v>
      </c>
      <c r="R902" s="10" t="s">
        <v>5873</v>
      </c>
      <c r="S902" s="11" t="s">
        <v>5874</v>
      </c>
      <c r="T902" s="6" t="s">
        <v>118</v>
      </c>
      <c r="U902" s="24" t="str">
        <f>HYPERLINK("https://media.infra-m.ru/1916/1916203/cover/1916203.jpg", "Обложка")</f>
        <v>Обложка</v>
      </c>
      <c r="V902" s="24" t="str">
        <f>HYPERLINK("https://znanium.ru/catalog/product/1916203", "Ознакомиться")</f>
        <v>Ознакомиться</v>
      </c>
      <c r="W902" s="8" t="s">
        <v>2653</v>
      </c>
      <c r="X902" s="6"/>
      <c r="Y902" s="6"/>
      <c r="Z902" s="6"/>
      <c r="AA902" s="6" t="s">
        <v>835</v>
      </c>
      <c r="AB902" s="8"/>
    </row>
    <row r="903" spans="1:28" s="4" customFormat="1" ht="51.95" customHeight="1">
      <c r="A903" s="5">
        <v>0</v>
      </c>
      <c r="B903" s="6" t="s">
        <v>5875</v>
      </c>
      <c r="C903" s="7">
        <v>2224</v>
      </c>
      <c r="D903" s="8" t="s">
        <v>5876</v>
      </c>
      <c r="E903" s="8" t="s">
        <v>5877</v>
      </c>
      <c r="F903" s="8" t="s">
        <v>5878</v>
      </c>
      <c r="G903" s="6" t="s">
        <v>38</v>
      </c>
      <c r="H903" s="6" t="s">
        <v>39</v>
      </c>
      <c r="I903" s="8" t="s">
        <v>69</v>
      </c>
      <c r="J903" s="9">
        <v>1</v>
      </c>
      <c r="K903" s="9">
        <v>496</v>
      </c>
      <c r="L903" s="9">
        <v>2024</v>
      </c>
      <c r="M903" s="8" t="s">
        <v>5879</v>
      </c>
      <c r="N903" s="8" t="s">
        <v>42</v>
      </c>
      <c r="O903" s="8" t="s">
        <v>43</v>
      </c>
      <c r="P903" s="6" t="s">
        <v>44</v>
      </c>
      <c r="Q903" s="8" t="s">
        <v>45</v>
      </c>
      <c r="R903" s="10" t="s">
        <v>5880</v>
      </c>
      <c r="S903" s="11"/>
      <c r="T903" s="6"/>
      <c r="U903" s="24" t="str">
        <f>HYPERLINK("https://media.infra-m.ru/2056/2056798/cover/2056798.jpg", "Обложка")</f>
        <v>Обложка</v>
      </c>
      <c r="V903" s="12"/>
      <c r="W903" s="8" t="s">
        <v>818</v>
      </c>
      <c r="X903" s="6"/>
      <c r="Y903" s="6"/>
      <c r="Z903" s="6"/>
      <c r="AA903" s="6" t="s">
        <v>304</v>
      </c>
      <c r="AB903" s="8"/>
    </row>
    <row r="904" spans="1:28" s="4" customFormat="1" ht="51.95" customHeight="1">
      <c r="A904" s="5">
        <v>0</v>
      </c>
      <c r="B904" s="6" t="s">
        <v>5881</v>
      </c>
      <c r="C904" s="13">
        <v>987</v>
      </c>
      <c r="D904" s="8" t="s">
        <v>5882</v>
      </c>
      <c r="E904" s="8" t="s">
        <v>5883</v>
      </c>
      <c r="F904" s="8" t="s">
        <v>5021</v>
      </c>
      <c r="G904" s="6" t="s">
        <v>67</v>
      </c>
      <c r="H904" s="6" t="s">
        <v>39</v>
      </c>
      <c r="I904" s="8" t="s">
        <v>40</v>
      </c>
      <c r="J904" s="9">
        <v>1</v>
      </c>
      <c r="K904" s="9">
        <v>143</v>
      </c>
      <c r="L904" s="9">
        <v>2025</v>
      </c>
      <c r="M904" s="8" t="s">
        <v>5884</v>
      </c>
      <c r="N904" s="8" t="s">
        <v>42</v>
      </c>
      <c r="O904" s="8" t="s">
        <v>43</v>
      </c>
      <c r="P904" s="6" t="s">
        <v>44</v>
      </c>
      <c r="Q904" s="8" t="s">
        <v>45</v>
      </c>
      <c r="R904" s="10" t="s">
        <v>5885</v>
      </c>
      <c r="S904" s="11" t="s">
        <v>5886</v>
      </c>
      <c r="T904" s="6"/>
      <c r="U904" s="24" t="str">
        <f>HYPERLINK("https://media.infra-m.ru/2205/2205738/cover/2205738.jpg", "Обложка")</f>
        <v>Обложка</v>
      </c>
      <c r="V904" s="24" t="str">
        <f>HYPERLINK("https://znanium.ru/catalog/product/2137197", "Ознакомиться")</f>
        <v>Ознакомиться</v>
      </c>
      <c r="W904" s="8" t="s">
        <v>2674</v>
      </c>
      <c r="X904" s="6"/>
      <c r="Y904" s="6"/>
      <c r="Z904" s="6" t="s">
        <v>48</v>
      </c>
      <c r="AA904" s="6" t="s">
        <v>740</v>
      </c>
      <c r="AB904" s="8"/>
    </row>
    <row r="905" spans="1:28" s="4" customFormat="1" ht="51.95" customHeight="1">
      <c r="A905" s="5">
        <v>0</v>
      </c>
      <c r="B905" s="6" t="s">
        <v>5887</v>
      </c>
      <c r="C905" s="7">
        <v>2360</v>
      </c>
      <c r="D905" s="8" t="s">
        <v>5888</v>
      </c>
      <c r="E905" s="8" t="s">
        <v>5889</v>
      </c>
      <c r="F905" s="8" t="s">
        <v>5890</v>
      </c>
      <c r="G905" s="6" t="s">
        <v>38</v>
      </c>
      <c r="H905" s="6" t="s">
        <v>299</v>
      </c>
      <c r="I905" s="8" t="s">
        <v>69</v>
      </c>
      <c r="J905" s="9">
        <v>1</v>
      </c>
      <c r="K905" s="9">
        <v>512</v>
      </c>
      <c r="L905" s="9">
        <v>2024</v>
      </c>
      <c r="M905" s="8" t="s">
        <v>5891</v>
      </c>
      <c r="N905" s="8" t="s">
        <v>42</v>
      </c>
      <c r="O905" s="8" t="s">
        <v>43</v>
      </c>
      <c r="P905" s="6" t="s">
        <v>44</v>
      </c>
      <c r="Q905" s="8" t="s">
        <v>45</v>
      </c>
      <c r="R905" s="10" t="s">
        <v>5892</v>
      </c>
      <c r="S905" s="11" t="s">
        <v>5893</v>
      </c>
      <c r="T905" s="6" t="s">
        <v>118</v>
      </c>
      <c r="U905" s="24" t="str">
        <f>HYPERLINK("https://media.infra-m.ru/2083/2083383/cover/2083383.jpg", "Обложка")</f>
        <v>Обложка</v>
      </c>
      <c r="V905" s="24" t="str">
        <f>HYPERLINK("https://znanium.ru/catalog/product/2083383", "Ознакомиться")</f>
        <v>Ознакомиться</v>
      </c>
      <c r="W905" s="8" t="s">
        <v>2653</v>
      </c>
      <c r="X905" s="6"/>
      <c r="Y905" s="6"/>
      <c r="Z905" s="6"/>
      <c r="AA905" s="6" t="s">
        <v>261</v>
      </c>
      <c r="AB905" s="8"/>
    </row>
    <row r="906" spans="1:28" s="4" customFormat="1" ht="51.95" customHeight="1">
      <c r="A906" s="5">
        <v>0</v>
      </c>
      <c r="B906" s="6" t="s">
        <v>5894</v>
      </c>
      <c r="C906" s="7">
        <v>1864</v>
      </c>
      <c r="D906" s="8" t="s">
        <v>5895</v>
      </c>
      <c r="E906" s="8" t="s">
        <v>5896</v>
      </c>
      <c r="F906" s="8" t="s">
        <v>5897</v>
      </c>
      <c r="G906" s="6" t="s">
        <v>90</v>
      </c>
      <c r="H906" s="6" t="s">
        <v>54</v>
      </c>
      <c r="I906" s="8" t="s">
        <v>40</v>
      </c>
      <c r="J906" s="9">
        <v>1</v>
      </c>
      <c r="K906" s="9">
        <v>365</v>
      </c>
      <c r="L906" s="9">
        <v>2025</v>
      </c>
      <c r="M906" s="8" t="s">
        <v>5898</v>
      </c>
      <c r="N906" s="8" t="s">
        <v>42</v>
      </c>
      <c r="O906" s="8" t="s">
        <v>219</v>
      </c>
      <c r="P906" s="6" t="s">
        <v>58</v>
      </c>
      <c r="Q906" s="8" t="s">
        <v>45</v>
      </c>
      <c r="R906" s="10" t="s">
        <v>5899</v>
      </c>
      <c r="S906" s="11" t="s">
        <v>5900</v>
      </c>
      <c r="T906" s="6" t="s">
        <v>118</v>
      </c>
      <c r="U906" s="24" t="str">
        <f>HYPERLINK("https://media.infra-m.ru/2191/2191624/cover/2191624.jpg", "Обложка")</f>
        <v>Обложка</v>
      </c>
      <c r="V906" s="24" t="str">
        <f>HYPERLINK("https://znanium.ru/catalog/product/2168884", "Ознакомиться")</f>
        <v>Ознакомиться</v>
      </c>
      <c r="W906" s="8" t="s">
        <v>5901</v>
      </c>
      <c r="X906" s="6"/>
      <c r="Y906" s="6" t="s">
        <v>30</v>
      </c>
      <c r="Z906" s="6" t="s">
        <v>48</v>
      </c>
      <c r="AA906" s="6" t="s">
        <v>740</v>
      </c>
      <c r="AB906" s="8"/>
    </row>
    <row r="907" spans="1:28" s="4" customFormat="1" ht="51.95" customHeight="1">
      <c r="A907" s="5">
        <v>0</v>
      </c>
      <c r="B907" s="6" t="s">
        <v>5902</v>
      </c>
      <c r="C907" s="7">
        <v>1860</v>
      </c>
      <c r="D907" s="8" t="s">
        <v>5903</v>
      </c>
      <c r="E907" s="8" t="s">
        <v>5904</v>
      </c>
      <c r="F907" s="8" t="s">
        <v>4214</v>
      </c>
      <c r="G907" s="6" t="s">
        <v>90</v>
      </c>
      <c r="H907" s="6" t="s">
        <v>39</v>
      </c>
      <c r="I907" s="8" t="s">
        <v>40</v>
      </c>
      <c r="J907" s="9">
        <v>1</v>
      </c>
      <c r="K907" s="9">
        <v>352</v>
      </c>
      <c r="L907" s="9">
        <v>2026</v>
      </c>
      <c r="M907" s="8" t="s">
        <v>5905</v>
      </c>
      <c r="N907" s="8" t="s">
        <v>42</v>
      </c>
      <c r="O907" s="8" t="s">
        <v>43</v>
      </c>
      <c r="P907" s="6" t="s">
        <v>44</v>
      </c>
      <c r="Q907" s="8" t="s">
        <v>45</v>
      </c>
      <c r="R907" s="10" t="s">
        <v>5906</v>
      </c>
      <c r="S907" s="11" t="s">
        <v>5907</v>
      </c>
      <c r="T907" s="6"/>
      <c r="U907" s="24" t="str">
        <f>HYPERLINK("https://media.infra-m.ru/2207/2207457/cover/2207457.jpg", "Обложка")</f>
        <v>Обложка</v>
      </c>
      <c r="V907" s="24" t="str">
        <f>HYPERLINK("https://znanium.ru/catalog/product/2207457", "Ознакомиться")</f>
        <v>Ознакомиться</v>
      </c>
      <c r="W907" s="8" t="s">
        <v>2007</v>
      </c>
      <c r="X907" s="6"/>
      <c r="Y907" s="6"/>
      <c r="Z907" s="6" t="s">
        <v>48</v>
      </c>
      <c r="AA907" s="6" t="s">
        <v>74</v>
      </c>
      <c r="AB907" s="8"/>
    </row>
    <row r="908" spans="1:28" s="4" customFormat="1" ht="51.95" customHeight="1">
      <c r="A908" s="5">
        <v>0</v>
      </c>
      <c r="B908" s="6" t="s">
        <v>5908</v>
      </c>
      <c r="C908" s="13">
        <v>650</v>
      </c>
      <c r="D908" s="8" t="s">
        <v>5909</v>
      </c>
      <c r="E908" s="8" t="s">
        <v>5910</v>
      </c>
      <c r="F908" s="8" t="s">
        <v>5911</v>
      </c>
      <c r="G908" s="6" t="s">
        <v>90</v>
      </c>
      <c r="H908" s="6" t="s">
        <v>54</v>
      </c>
      <c r="I908" s="8" t="s">
        <v>40</v>
      </c>
      <c r="J908" s="9">
        <v>1</v>
      </c>
      <c r="K908" s="9">
        <v>145</v>
      </c>
      <c r="L908" s="9">
        <v>2023</v>
      </c>
      <c r="M908" s="8" t="s">
        <v>5912</v>
      </c>
      <c r="N908" s="8" t="s">
        <v>42</v>
      </c>
      <c r="O908" s="8" t="s">
        <v>43</v>
      </c>
      <c r="P908" s="6" t="s">
        <v>44</v>
      </c>
      <c r="Q908" s="8" t="s">
        <v>45</v>
      </c>
      <c r="R908" s="10" t="s">
        <v>5913</v>
      </c>
      <c r="S908" s="11" t="s">
        <v>5914</v>
      </c>
      <c r="T908" s="6"/>
      <c r="U908" s="24" t="str">
        <f>HYPERLINK("https://media.infra-m.ru/1878/1878635/cover/1878635.jpg", "Обложка")</f>
        <v>Обложка</v>
      </c>
      <c r="V908" s="24" t="str">
        <f>HYPERLINK("https://znanium.ru/catalog/product/1878635", "Ознакомиться")</f>
        <v>Ознакомиться</v>
      </c>
      <c r="W908" s="8" t="s">
        <v>1950</v>
      </c>
      <c r="X908" s="6"/>
      <c r="Y908" s="6"/>
      <c r="Z908" s="6" t="s">
        <v>48</v>
      </c>
      <c r="AA908" s="6" t="s">
        <v>111</v>
      </c>
      <c r="AB908" s="8"/>
    </row>
    <row r="909" spans="1:28" s="4" customFormat="1" ht="51.95" customHeight="1">
      <c r="A909" s="5">
        <v>0</v>
      </c>
      <c r="B909" s="6" t="s">
        <v>5915</v>
      </c>
      <c r="C909" s="13">
        <v>740</v>
      </c>
      <c r="D909" s="8" t="s">
        <v>5916</v>
      </c>
      <c r="E909" s="8" t="s">
        <v>5917</v>
      </c>
      <c r="F909" s="8" t="s">
        <v>953</v>
      </c>
      <c r="G909" s="6" t="s">
        <v>67</v>
      </c>
      <c r="H909" s="6" t="s">
        <v>54</v>
      </c>
      <c r="I909" s="8" t="s">
        <v>40</v>
      </c>
      <c r="J909" s="9">
        <v>1</v>
      </c>
      <c r="K909" s="9">
        <v>158</v>
      </c>
      <c r="L909" s="9">
        <v>2024</v>
      </c>
      <c r="M909" s="8" t="s">
        <v>5918</v>
      </c>
      <c r="N909" s="8" t="s">
        <v>42</v>
      </c>
      <c r="O909" s="8" t="s">
        <v>43</v>
      </c>
      <c r="P909" s="6" t="s">
        <v>44</v>
      </c>
      <c r="Q909" s="8" t="s">
        <v>45</v>
      </c>
      <c r="R909" s="10" t="s">
        <v>5919</v>
      </c>
      <c r="S909" s="11" t="s">
        <v>5920</v>
      </c>
      <c r="T909" s="6"/>
      <c r="U909" s="24" t="str">
        <f>HYPERLINK("https://media.infra-m.ru/2111/2111926/cover/2111926.jpg", "Обложка")</f>
        <v>Обложка</v>
      </c>
      <c r="V909" s="24" t="str">
        <f>HYPERLINK("https://znanium.ru/catalog/product/2111926", "Ознакомиться")</f>
        <v>Ознакомиться</v>
      </c>
      <c r="W909" s="8" t="s">
        <v>956</v>
      </c>
      <c r="X909" s="6"/>
      <c r="Y909" s="6" t="s">
        <v>30</v>
      </c>
      <c r="Z909" s="6"/>
      <c r="AA909" s="6" t="s">
        <v>443</v>
      </c>
      <c r="AB909" s="8"/>
    </row>
    <row r="910" spans="1:28" s="4" customFormat="1" ht="51.95" customHeight="1">
      <c r="A910" s="5">
        <v>0</v>
      </c>
      <c r="B910" s="6" t="s">
        <v>5921</v>
      </c>
      <c r="C910" s="13">
        <v>350</v>
      </c>
      <c r="D910" s="8" t="s">
        <v>5922</v>
      </c>
      <c r="E910" s="8" t="s">
        <v>5923</v>
      </c>
      <c r="F910" s="8" t="s">
        <v>953</v>
      </c>
      <c r="G910" s="6" t="s">
        <v>67</v>
      </c>
      <c r="H910" s="6" t="s">
        <v>54</v>
      </c>
      <c r="I910" s="8" t="s">
        <v>40</v>
      </c>
      <c r="J910" s="9">
        <v>1</v>
      </c>
      <c r="K910" s="9">
        <v>117</v>
      </c>
      <c r="L910" s="9">
        <v>2019</v>
      </c>
      <c r="M910" s="8" t="s">
        <v>5924</v>
      </c>
      <c r="N910" s="8" t="s">
        <v>42</v>
      </c>
      <c r="O910" s="8" t="s">
        <v>43</v>
      </c>
      <c r="P910" s="6" t="s">
        <v>44</v>
      </c>
      <c r="Q910" s="8" t="s">
        <v>45</v>
      </c>
      <c r="R910" s="10" t="s">
        <v>5919</v>
      </c>
      <c r="S910" s="11" t="s">
        <v>5925</v>
      </c>
      <c r="T910" s="6"/>
      <c r="U910" s="24" t="str">
        <f>HYPERLINK("https://media.infra-m.ru/0989/0989894/cover/989894.jpg", "Обложка")</f>
        <v>Обложка</v>
      </c>
      <c r="V910" s="24" t="str">
        <f>HYPERLINK("https://znanium.ru/catalog/product/2111926", "Ознакомиться")</f>
        <v>Ознакомиться</v>
      </c>
      <c r="W910" s="8" t="s">
        <v>956</v>
      </c>
      <c r="X910" s="6"/>
      <c r="Y910" s="6" t="s">
        <v>30</v>
      </c>
      <c r="Z910" s="6"/>
      <c r="AA910" s="6" t="s">
        <v>261</v>
      </c>
      <c r="AB910" s="8"/>
    </row>
    <row r="911" spans="1:28" s="4" customFormat="1" ht="51.95" customHeight="1">
      <c r="A911" s="5">
        <v>0</v>
      </c>
      <c r="B911" s="6" t="s">
        <v>5926</v>
      </c>
      <c r="C911" s="7">
        <v>2244</v>
      </c>
      <c r="D911" s="8" t="s">
        <v>5927</v>
      </c>
      <c r="E911" s="8" t="s">
        <v>5928</v>
      </c>
      <c r="F911" s="8" t="s">
        <v>5929</v>
      </c>
      <c r="G911" s="6" t="s">
        <v>38</v>
      </c>
      <c r="H911" s="6" t="s">
        <v>39</v>
      </c>
      <c r="I911" s="8" t="s">
        <v>69</v>
      </c>
      <c r="J911" s="9">
        <v>1</v>
      </c>
      <c r="K911" s="9">
        <v>448</v>
      </c>
      <c r="L911" s="9">
        <v>2025</v>
      </c>
      <c r="M911" s="8" t="s">
        <v>5930</v>
      </c>
      <c r="N911" s="8" t="s">
        <v>42</v>
      </c>
      <c r="O911" s="8" t="s">
        <v>43</v>
      </c>
      <c r="P911" s="6" t="s">
        <v>44</v>
      </c>
      <c r="Q911" s="8" t="s">
        <v>45</v>
      </c>
      <c r="R911" s="10" t="s">
        <v>5931</v>
      </c>
      <c r="S911" s="11" t="s">
        <v>5932</v>
      </c>
      <c r="T911" s="6"/>
      <c r="U911" s="24" t="str">
        <f>HYPERLINK("https://media.infra-m.ru/2185/2185904/cover/2185904.jpg", "Обложка")</f>
        <v>Обложка</v>
      </c>
      <c r="V911" s="24" t="str">
        <f>HYPERLINK("https://znanium.ru/catalog/product/1189345", "Ознакомиться")</f>
        <v>Ознакомиться</v>
      </c>
      <c r="W911" s="8" t="s">
        <v>818</v>
      </c>
      <c r="X911" s="6"/>
      <c r="Y911" s="6" t="s">
        <v>30</v>
      </c>
      <c r="Z911" s="6"/>
      <c r="AA911" s="6" t="s">
        <v>5933</v>
      </c>
      <c r="AB911" s="8"/>
    </row>
    <row r="912" spans="1:28" s="4" customFormat="1" ht="44.1" customHeight="1">
      <c r="A912" s="5">
        <v>0</v>
      </c>
      <c r="B912" s="6" t="s">
        <v>5934</v>
      </c>
      <c r="C912" s="7">
        <v>1670</v>
      </c>
      <c r="D912" s="8" t="s">
        <v>5935</v>
      </c>
      <c r="E912" s="8" t="s">
        <v>5936</v>
      </c>
      <c r="F912" s="8" t="s">
        <v>1291</v>
      </c>
      <c r="G912" s="6" t="s">
        <v>90</v>
      </c>
      <c r="H912" s="6" t="s">
        <v>54</v>
      </c>
      <c r="I912" s="8" t="s">
        <v>40</v>
      </c>
      <c r="J912" s="9">
        <v>1</v>
      </c>
      <c r="K912" s="9">
        <v>334</v>
      </c>
      <c r="L912" s="9">
        <v>2025</v>
      </c>
      <c r="M912" s="8" t="s">
        <v>5937</v>
      </c>
      <c r="N912" s="8" t="s">
        <v>42</v>
      </c>
      <c r="O912" s="8" t="s">
        <v>43</v>
      </c>
      <c r="P912" s="6" t="s">
        <v>44</v>
      </c>
      <c r="Q912" s="8" t="s">
        <v>45</v>
      </c>
      <c r="R912" s="10" t="s">
        <v>1293</v>
      </c>
      <c r="S912" s="11"/>
      <c r="T912" s="6"/>
      <c r="U912" s="24" t="str">
        <f>HYPERLINK("https://media.infra-m.ru/2181/2181823/cover/2181823.jpg", "Обложка")</f>
        <v>Обложка</v>
      </c>
      <c r="V912" s="24" t="str">
        <f>HYPERLINK("https://znanium.ru/catalog/product/2181823", "Ознакомиться")</f>
        <v>Ознакомиться</v>
      </c>
      <c r="W912" s="8" t="s">
        <v>834</v>
      </c>
      <c r="X912" s="6" t="s">
        <v>83</v>
      </c>
      <c r="Y912" s="6" t="s">
        <v>30</v>
      </c>
      <c r="Z912" s="6" t="s">
        <v>48</v>
      </c>
      <c r="AA912" s="6" t="s">
        <v>231</v>
      </c>
      <c r="AB912" s="8"/>
    </row>
    <row r="913" spans="1:28" s="4" customFormat="1" ht="51.95" customHeight="1">
      <c r="A913" s="5">
        <v>0</v>
      </c>
      <c r="B913" s="6" t="s">
        <v>5938</v>
      </c>
      <c r="C913" s="13">
        <v>720</v>
      </c>
      <c r="D913" s="8" t="s">
        <v>5939</v>
      </c>
      <c r="E913" s="8" t="s">
        <v>5940</v>
      </c>
      <c r="F913" s="8" t="s">
        <v>933</v>
      </c>
      <c r="G913" s="6" t="s">
        <v>90</v>
      </c>
      <c r="H913" s="6" t="s">
        <v>299</v>
      </c>
      <c r="I913" s="8" t="s">
        <v>40</v>
      </c>
      <c r="J913" s="9">
        <v>1</v>
      </c>
      <c r="K913" s="9">
        <v>160</v>
      </c>
      <c r="L913" s="9">
        <v>2023</v>
      </c>
      <c r="M913" s="8" t="s">
        <v>5941</v>
      </c>
      <c r="N913" s="8" t="s">
        <v>42</v>
      </c>
      <c r="O913" s="8" t="s">
        <v>43</v>
      </c>
      <c r="P913" s="6" t="s">
        <v>44</v>
      </c>
      <c r="Q913" s="8" t="s">
        <v>45</v>
      </c>
      <c r="R913" s="10" t="s">
        <v>154</v>
      </c>
      <c r="S913" s="11" t="s">
        <v>5942</v>
      </c>
      <c r="T913" s="6"/>
      <c r="U913" s="24" t="str">
        <f>HYPERLINK("https://media.infra-m.ru/1926/1926394/cover/1926394.jpg", "Обложка")</f>
        <v>Обложка</v>
      </c>
      <c r="V913" s="24" t="str">
        <f>HYPERLINK("https://znanium.ru/catalog/product/1926394", "Ознакомиться")</f>
        <v>Ознакомиться</v>
      </c>
      <c r="W913" s="8" t="s">
        <v>937</v>
      </c>
      <c r="X913" s="6"/>
      <c r="Y913" s="6"/>
      <c r="Z913" s="6" t="s">
        <v>48</v>
      </c>
      <c r="AA913" s="6" t="s">
        <v>129</v>
      </c>
      <c r="AB913" s="8"/>
    </row>
    <row r="914" spans="1:28" s="4" customFormat="1" ht="51.95" customHeight="1">
      <c r="A914" s="5">
        <v>0</v>
      </c>
      <c r="B914" s="6" t="s">
        <v>5943</v>
      </c>
      <c r="C914" s="13">
        <v>980</v>
      </c>
      <c r="D914" s="8" t="s">
        <v>5944</v>
      </c>
      <c r="E914" s="8" t="s">
        <v>5945</v>
      </c>
      <c r="F914" s="8" t="s">
        <v>5946</v>
      </c>
      <c r="G914" s="6" t="s">
        <v>38</v>
      </c>
      <c r="H914" s="6" t="s">
        <v>299</v>
      </c>
      <c r="I914" s="8" t="s">
        <v>40</v>
      </c>
      <c r="J914" s="14">
        <v>0</v>
      </c>
      <c r="K914" s="9">
        <v>336</v>
      </c>
      <c r="L914" s="9">
        <v>2018</v>
      </c>
      <c r="M914" s="8" t="s">
        <v>5947</v>
      </c>
      <c r="N914" s="8" t="s">
        <v>42</v>
      </c>
      <c r="O914" s="8" t="s">
        <v>169</v>
      </c>
      <c r="P914" s="6" t="s">
        <v>44</v>
      </c>
      <c r="Q914" s="8" t="s">
        <v>45</v>
      </c>
      <c r="R914" s="10"/>
      <c r="S914" s="11" t="s">
        <v>5948</v>
      </c>
      <c r="T914" s="6"/>
      <c r="U914" s="24" t="str">
        <f>HYPERLINK("https://media.infra-m.ru/0967/0967598/cover/967598.jpg", "Обложка")</f>
        <v>Обложка</v>
      </c>
      <c r="V914" s="12"/>
      <c r="W914" s="8"/>
      <c r="X914" s="6"/>
      <c r="Y914" s="6"/>
      <c r="Z914" s="6" t="s">
        <v>48</v>
      </c>
      <c r="AA914" s="6" t="s">
        <v>129</v>
      </c>
      <c r="AB914" s="8"/>
    </row>
    <row r="915" spans="1:28" s="4" customFormat="1" ht="51.95" customHeight="1">
      <c r="A915" s="5">
        <v>0</v>
      </c>
      <c r="B915" s="6" t="s">
        <v>5949</v>
      </c>
      <c r="C915" s="7">
        <v>2084</v>
      </c>
      <c r="D915" s="8" t="s">
        <v>5950</v>
      </c>
      <c r="E915" s="8" t="s">
        <v>5951</v>
      </c>
      <c r="F915" s="8" t="s">
        <v>5952</v>
      </c>
      <c r="G915" s="6" t="s">
        <v>90</v>
      </c>
      <c r="H915" s="6" t="s">
        <v>54</v>
      </c>
      <c r="I915" s="8" t="s">
        <v>40</v>
      </c>
      <c r="J915" s="9">
        <v>1</v>
      </c>
      <c r="K915" s="9">
        <v>430</v>
      </c>
      <c r="L915" s="9">
        <v>2025</v>
      </c>
      <c r="M915" s="8" t="s">
        <v>5953</v>
      </c>
      <c r="N915" s="8" t="s">
        <v>42</v>
      </c>
      <c r="O915" s="8" t="s">
        <v>169</v>
      </c>
      <c r="P915" s="6" t="s">
        <v>44</v>
      </c>
      <c r="Q915" s="8" t="s">
        <v>45</v>
      </c>
      <c r="R915" s="10" t="s">
        <v>5954</v>
      </c>
      <c r="S915" s="11" t="s">
        <v>5955</v>
      </c>
      <c r="T915" s="6"/>
      <c r="U915" s="24" t="str">
        <f>HYPERLINK("https://media.infra-m.ru/2162/2162487/cover/2162487.jpg", "Обложка")</f>
        <v>Обложка</v>
      </c>
      <c r="V915" s="24" t="str">
        <f>HYPERLINK("https://znanium.ru/catalog/product/2156920", "Ознакомиться")</f>
        <v>Ознакомиться</v>
      </c>
      <c r="W915" s="8" t="s">
        <v>850</v>
      </c>
      <c r="X915" s="6"/>
      <c r="Y915" s="6"/>
      <c r="Z915" s="6" t="s">
        <v>48</v>
      </c>
      <c r="AA915" s="6" t="s">
        <v>111</v>
      </c>
      <c r="AB915" s="8"/>
    </row>
    <row r="916" spans="1:28" s="4" customFormat="1" ht="51.95" customHeight="1">
      <c r="A916" s="5">
        <v>0</v>
      </c>
      <c r="B916" s="6" t="s">
        <v>5956</v>
      </c>
      <c r="C916" s="7">
        <v>1350</v>
      </c>
      <c r="D916" s="8" t="s">
        <v>5957</v>
      </c>
      <c r="E916" s="8" t="s">
        <v>5958</v>
      </c>
      <c r="F916" s="8" t="s">
        <v>5959</v>
      </c>
      <c r="G916" s="6" t="s">
        <v>90</v>
      </c>
      <c r="H916" s="6" t="s">
        <v>54</v>
      </c>
      <c r="I916" s="8" t="s">
        <v>40</v>
      </c>
      <c r="J916" s="9">
        <v>1</v>
      </c>
      <c r="K916" s="9">
        <v>264</v>
      </c>
      <c r="L916" s="9">
        <v>2025</v>
      </c>
      <c r="M916" s="8" t="s">
        <v>5960</v>
      </c>
      <c r="N916" s="8" t="s">
        <v>42</v>
      </c>
      <c r="O916" s="8" t="s">
        <v>1370</v>
      </c>
      <c r="P916" s="6" t="s">
        <v>44</v>
      </c>
      <c r="Q916" s="8" t="s">
        <v>45</v>
      </c>
      <c r="R916" s="10" t="s">
        <v>5961</v>
      </c>
      <c r="S916" s="11" t="s">
        <v>5962</v>
      </c>
      <c r="T916" s="6"/>
      <c r="U916" s="24" t="str">
        <f>HYPERLINK("https://media.infra-m.ru/2184/2184878/cover/2184878.jpg", "Обложка")</f>
        <v>Обложка</v>
      </c>
      <c r="V916" s="24" t="str">
        <f>HYPERLINK("https://znanium.ru/catalog/product/2184878", "Ознакомиться")</f>
        <v>Ознакомиться</v>
      </c>
      <c r="W916" s="8" t="s">
        <v>1373</v>
      </c>
      <c r="X916" s="6"/>
      <c r="Y916" s="6"/>
      <c r="Z916" s="6" t="s">
        <v>48</v>
      </c>
      <c r="AA916" s="6" t="s">
        <v>129</v>
      </c>
      <c r="AB916" s="8"/>
    </row>
    <row r="917" spans="1:28" s="4" customFormat="1" ht="42" customHeight="1">
      <c r="A917" s="5">
        <v>0</v>
      </c>
      <c r="B917" s="6" t="s">
        <v>5963</v>
      </c>
      <c r="C917" s="7">
        <v>1764</v>
      </c>
      <c r="D917" s="8" t="s">
        <v>5964</v>
      </c>
      <c r="E917" s="8" t="s">
        <v>5965</v>
      </c>
      <c r="F917" s="8" t="s">
        <v>5966</v>
      </c>
      <c r="G917" s="6" t="s">
        <v>90</v>
      </c>
      <c r="H917" s="6" t="s">
        <v>824</v>
      </c>
      <c r="I917" s="8" t="s">
        <v>40</v>
      </c>
      <c r="J917" s="9">
        <v>1</v>
      </c>
      <c r="K917" s="9">
        <v>352</v>
      </c>
      <c r="L917" s="9">
        <v>2025</v>
      </c>
      <c r="M917" s="8" t="s">
        <v>5967</v>
      </c>
      <c r="N917" s="8" t="s">
        <v>42</v>
      </c>
      <c r="O917" s="8" t="s">
        <v>43</v>
      </c>
      <c r="P917" s="6" t="s">
        <v>58</v>
      </c>
      <c r="Q917" s="8" t="s">
        <v>45</v>
      </c>
      <c r="R917" s="10" t="s">
        <v>5968</v>
      </c>
      <c r="S917" s="11"/>
      <c r="T917" s="6"/>
      <c r="U917" s="24" t="str">
        <f>HYPERLINK("https://media.infra-m.ru/2161/2161676/cover/2161676.jpg", "Обложка")</f>
        <v>Обложка</v>
      </c>
      <c r="V917" s="24" t="str">
        <f>HYPERLINK("https://znanium.ru/catalog/product/2157001", "Ознакомиться")</f>
        <v>Ознакомиться</v>
      </c>
      <c r="W917" s="8" t="s">
        <v>1399</v>
      </c>
      <c r="X917" s="6"/>
      <c r="Y917" s="6" t="s">
        <v>30</v>
      </c>
      <c r="Z917" s="6"/>
      <c r="AA917" s="6" t="s">
        <v>766</v>
      </c>
      <c r="AB917" s="8"/>
    </row>
    <row r="918" spans="1:28" s="4" customFormat="1" ht="51.95" customHeight="1">
      <c r="A918" s="5">
        <v>0</v>
      </c>
      <c r="B918" s="6" t="s">
        <v>5969</v>
      </c>
      <c r="C918" s="7">
        <v>1550</v>
      </c>
      <c r="D918" s="8" t="s">
        <v>5970</v>
      </c>
      <c r="E918" s="8" t="s">
        <v>5971</v>
      </c>
      <c r="F918" s="8" t="s">
        <v>5972</v>
      </c>
      <c r="G918" s="6" t="s">
        <v>90</v>
      </c>
      <c r="H918" s="6" t="s">
        <v>54</v>
      </c>
      <c r="I918" s="8" t="s">
        <v>40</v>
      </c>
      <c r="J918" s="9">
        <v>1</v>
      </c>
      <c r="K918" s="9">
        <v>286</v>
      </c>
      <c r="L918" s="9">
        <v>2026</v>
      </c>
      <c r="M918" s="8" t="s">
        <v>5973</v>
      </c>
      <c r="N918" s="8" t="s">
        <v>42</v>
      </c>
      <c r="O918" s="8" t="s">
        <v>169</v>
      </c>
      <c r="P918" s="6" t="s">
        <v>58</v>
      </c>
      <c r="Q918" s="8" t="s">
        <v>45</v>
      </c>
      <c r="R918" s="10" t="s">
        <v>5974</v>
      </c>
      <c r="S918" s="11" t="s">
        <v>5975</v>
      </c>
      <c r="T918" s="6"/>
      <c r="U918" s="24" t="str">
        <f>HYPERLINK("https://media.infra-m.ru/2220/2220965/cover/2220965.jpg", "Обложка")</f>
        <v>Обложка</v>
      </c>
      <c r="V918" s="24" t="str">
        <f>HYPERLINK("https://znanium.ru/catalog/product/2220965", "Ознакомиться")</f>
        <v>Ознакомиться</v>
      </c>
      <c r="W918" s="8" t="s">
        <v>593</v>
      </c>
      <c r="X918" s="6"/>
      <c r="Y918" s="6"/>
      <c r="Z918" s="6" t="s">
        <v>48</v>
      </c>
      <c r="AA918" s="6" t="s">
        <v>111</v>
      </c>
      <c r="AB918" s="8"/>
    </row>
    <row r="919" spans="1:28" s="4" customFormat="1" ht="51.95" customHeight="1">
      <c r="A919" s="5">
        <v>0</v>
      </c>
      <c r="B919" s="6" t="s">
        <v>5976</v>
      </c>
      <c r="C919" s="13">
        <v>704</v>
      </c>
      <c r="D919" s="8" t="s">
        <v>5977</v>
      </c>
      <c r="E919" s="8" t="s">
        <v>5978</v>
      </c>
      <c r="F919" s="8" t="s">
        <v>5979</v>
      </c>
      <c r="G919" s="6" t="s">
        <v>67</v>
      </c>
      <c r="H919" s="6" t="s">
        <v>299</v>
      </c>
      <c r="I919" s="8" t="s">
        <v>40</v>
      </c>
      <c r="J919" s="9">
        <v>1</v>
      </c>
      <c r="K919" s="9">
        <v>128</v>
      </c>
      <c r="L919" s="9">
        <v>2026</v>
      </c>
      <c r="M919" s="8" t="s">
        <v>5980</v>
      </c>
      <c r="N919" s="8" t="s">
        <v>42</v>
      </c>
      <c r="O919" s="8" t="s">
        <v>169</v>
      </c>
      <c r="P919" s="6" t="s">
        <v>44</v>
      </c>
      <c r="Q919" s="8" t="s">
        <v>45</v>
      </c>
      <c r="R919" s="10" t="s">
        <v>5981</v>
      </c>
      <c r="S919" s="11" t="s">
        <v>5982</v>
      </c>
      <c r="T919" s="6"/>
      <c r="U919" s="24" t="str">
        <f>HYPERLINK("https://media.infra-m.ru/2224/2224141/cover/2224141.jpg", "Обложка")</f>
        <v>Обложка</v>
      </c>
      <c r="V919" s="24" t="str">
        <f>HYPERLINK("https://znanium.ru/catalog/product/2172582", "Ознакомиться")</f>
        <v>Ознакомиться</v>
      </c>
      <c r="W919" s="8" t="s">
        <v>180</v>
      </c>
      <c r="X919" s="6"/>
      <c r="Y919" s="6"/>
      <c r="Z919" s="6" t="s">
        <v>48</v>
      </c>
      <c r="AA919" s="6" t="s">
        <v>500</v>
      </c>
      <c r="AB919" s="8"/>
    </row>
    <row r="920" spans="1:28" s="4" customFormat="1" ht="51.95" customHeight="1">
      <c r="A920" s="5">
        <v>0</v>
      </c>
      <c r="B920" s="6" t="s">
        <v>5983</v>
      </c>
      <c r="C920" s="7">
        <v>1674</v>
      </c>
      <c r="D920" s="8" t="s">
        <v>5984</v>
      </c>
      <c r="E920" s="8" t="s">
        <v>5985</v>
      </c>
      <c r="F920" s="8" t="s">
        <v>5986</v>
      </c>
      <c r="G920" s="6" t="s">
        <v>90</v>
      </c>
      <c r="H920" s="6" t="s">
        <v>54</v>
      </c>
      <c r="I920" s="8" t="s">
        <v>40</v>
      </c>
      <c r="J920" s="9">
        <v>1</v>
      </c>
      <c r="K920" s="9">
        <v>352</v>
      </c>
      <c r="L920" s="9">
        <v>2024</v>
      </c>
      <c r="M920" s="8" t="s">
        <v>5987</v>
      </c>
      <c r="N920" s="8" t="s">
        <v>42</v>
      </c>
      <c r="O920" s="8" t="s">
        <v>187</v>
      </c>
      <c r="P920" s="6" t="s">
        <v>44</v>
      </c>
      <c r="Q920" s="8" t="s">
        <v>45</v>
      </c>
      <c r="R920" s="10" t="s">
        <v>5988</v>
      </c>
      <c r="S920" s="11" t="s">
        <v>5989</v>
      </c>
      <c r="T920" s="6"/>
      <c r="U920" s="24" t="str">
        <f>HYPERLINK("https://media.infra-m.ru/2149/2149188/cover/2149188.jpg", "Обложка")</f>
        <v>Обложка</v>
      </c>
      <c r="V920" s="24" t="str">
        <f>HYPERLINK("https://znanium.ru/catalog/product/2221466", "Ознакомиться")</f>
        <v>Ознакомиться</v>
      </c>
      <c r="W920" s="8" t="s">
        <v>180</v>
      </c>
      <c r="X920" s="6"/>
      <c r="Y920" s="6"/>
      <c r="Z920" s="6"/>
      <c r="AA920" s="6" t="s">
        <v>304</v>
      </c>
      <c r="AB920" s="8"/>
    </row>
    <row r="921" spans="1:28" s="4" customFormat="1" ht="44.1" customHeight="1">
      <c r="A921" s="5">
        <v>0</v>
      </c>
      <c r="B921" s="6" t="s">
        <v>5990</v>
      </c>
      <c r="C921" s="7">
        <v>1770</v>
      </c>
      <c r="D921" s="8" t="s">
        <v>5991</v>
      </c>
      <c r="E921" s="8" t="s">
        <v>5992</v>
      </c>
      <c r="F921" s="8" t="s">
        <v>5986</v>
      </c>
      <c r="G921" s="6" t="s">
        <v>90</v>
      </c>
      <c r="H921" s="6" t="s">
        <v>54</v>
      </c>
      <c r="I921" s="8" t="s">
        <v>40</v>
      </c>
      <c r="J921" s="9">
        <v>1</v>
      </c>
      <c r="K921" s="9">
        <v>323</v>
      </c>
      <c r="L921" s="9">
        <v>2026</v>
      </c>
      <c r="M921" s="8" t="s">
        <v>5993</v>
      </c>
      <c r="N921" s="8" t="s">
        <v>42</v>
      </c>
      <c r="O921" s="8" t="s">
        <v>187</v>
      </c>
      <c r="P921" s="6" t="s">
        <v>44</v>
      </c>
      <c r="Q921" s="8" t="s">
        <v>45</v>
      </c>
      <c r="R921" s="10" t="s">
        <v>5988</v>
      </c>
      <c r="S921" s="11"/>
      <c r="T921" s="6"/>
      <c r="U921" s="24" t="str">
        <f>HYPERLINK("https://media.infra-m.ru/2221/2221466/cover/2221466.jpg", "Обложка")</f>
        <v>Обложка</v>
      </c>
      <c r="V921" s="24" t="str">
        <f>HYPERLINK("https://znanium.ru/catalog/product/2221466", "Ознакомиться")</f>
        <v>Ознакомиться</v>
      </c>
      <c r="W921" s="8" t="s">
        <v>180</v>
      </c>
      <c r="X921" s="6"/>
      <c r="Y921" s="6"/>
      <c r="Z921" s="6"/>
      <c r="AA921" s="6" t="s">
        <v>231</v>
      </c>
      <c r="AB921" s="8"/>
    </row>
    <row r="922" spans="1:28" s="4" customFormat="1" ht="51.95" customHeight="1">
      <c r="A922" s="5">
        <v>0</v>
      </c>
      <c r="B922" s="6" t="s">
        <v>5994</v>
      </c>
      <c r="C922" s="7">
        <v>1964</v>
      </c>
      <c r="D922" s="8" t="s">
        <v>5995</v>
      </c>
      <c r="E922" s="8" t="s">
        <v>5996</v>
      </c>
      <c r="F922" s="8" t="s">
        <v>5997</v>
      </c>
      <c r="G922" s="6" t="s">
        <v>90</v>
      </c>
      <c r="H922" s="6" t="s">
        <v>299</v>
      </c>
      <c r="I922" s="8" t="s">
        <v>40</v>
      </c>
      <c r="J922" s="9">
        <v>1</v>
      </c>
      <c r="K922" s="9">
        <v>367</v>
      </c>
      <c r="L922" s="9">
        <v>2026</v>
      </c>
      <c r="M922" s="8" t="s">
        <v>5998</v>
      </c>
      <c r="N922" s="8" t="s">
        <v>42</v>
      </c>
      <c r="O922" s="8" t="s">
        <v>169</v>
      </c>
      <c r="P922" s="6" t="s">
        <v>58</v>
      </c>
      <c r="Q922" s="8" t="s">
        <v>45</v>
      </c>
      <c r="R922" s="10" t="s">
        <v>5999</v>
      </c>
      <c r="S922" s="11" t="s">
        <v>3713</v>
      </c>
      <c r="T922" s="6"/>
      <c r="U922" s="24" t="str">
        <f>HYPERLINK("https://media.infra-m.ru/2222/2222657/cover/2222657.jpg", "Обложка")</f>
        <v>Обложка</v>
      </c>
      <c r="V922" s="24" t="str">
        <f>HYPERLINK("https://znanium.ru/catalog/product/2222394", "Ознакомиться")</f>
        <v>Ознакомиться</v>
      </c>
      <c r="W922" s="8" t="s">
        <v>172</v>
      </c>
      <c r="X922" s="6"/>
      <c r="Y922" s="6"/>
      <c r="Z922" s="6"/>
      <c r="AA922" s="6" t="s">
        <v>573</v>
      </c>
      <c r="AB922" s="8"/>
    </row>
    <row r="923" spans="1:28" s="4" customFormat="1" ht="51.95" customHeight="1">
      <c r="A923" s="5">
        <v>0</v>
      </c>
      <c r="B923" s="6" t="s">
        <v>6000</v>
      </c>
      <c r="C923" s="7">
        <v>1090</v>
      </c>
      <c r="D923" s="8" t="s">
        <v>6001</v>
      </c>
      <c r="E923" s="8" t="s">
        <v>6002</v>
      </c>
      <c r="F923" s="8" t="s">
        <v>6003</v>
      </c>
      <c r="G923" s="6" t="s">
        <v>90</v>
      </c>
      <c r="H923" s="6" t="s">
        <v>299</v>
      </c>
      <c r="I923" s="8" t="s">
        <v>40</v>
      </c>
      <c r="J923" s="9">
        <v>1</v>
      </c>
      <c r="K923" s="9">
        <v>216</v>
      </c>
      <c r="L923" s="9">
        <v>2025</v>
      </c>
      <c r="M923" s="8" t="s">
        <v>6004</v>
      </c>
      <c r="N923" s="8" t="s">
        <v>42</v>
      </c>
      <c r="O923" s="8" t="s">
        <v>169</v>
      </c>
      <c r="P923" s="6" t="s">
        <v>44</v>
      </c>
      <c r="Q923" s="8" t="s">
        <v>45</v>
      </c>
      <c r="R923" s="10" t="s">
        <v>6005</v>
      </c>
      <c r="S923" s="11" t="s">
        <v>6006</v>
      </c>
      <c r="T923" s="6"/>
      <c r="U923" s="24" t="str">
        <f>HYPERLINK("https://media.infra-m.ru/2185/2185400/cover/2185400.jpg", "Обложка")</f>
        <v>Обложка</v>
      </c>
      <c r="V923" s="24" t="str">
        <f>HYPERLINK("https://znanium.ru/catalog/product/2185400", "Ознакомиться")</f>
        <v>Ознакомиться</v>
      </c>
      <c r="W923" s="8" t="s">
        <v>172</v>
      </c>
      <c r="X923" s="6"/>
      <c r="Y923" s="6" t="s">
        <v>30</v>
      </c>
      <c r="Z923" s="6"/>
      <c r="AA923" s="6" t="s">
        <v>766</v>
      </c>
      <c r="AB923" s="8"/>
    </row>
    <row r="924" spans="1:28" s="4" customFormat="1" ht="51.95" customHeight="1">
      <c r="A924" s="5">
        <v>0</v>
      </c>
      <c r="B924" s="6" t="s">
        <v>6007</v>
      </c>
      <c r="C924" s="7">
        <v>2064</v>
      </c>
      <c r="D924" s="8" t="s">
        <v>6008</v>
      </c>
      <c r="E924" s="8" t="s">
        <v>6009</v>
      </c>
      <c r="F924" s="8" t="s">
        <v>6010</v>
      </c>
      <c r="G924" s="6" t="s">
        <v>90</v>
      </c>
      <c r="H924" s="6" t="s">
        <v>54</v>
      </c>
      <c r="I924" s="8" t="s">
        <v>40</v>
      </c>
      <c r="J924" s="9">
        <v>1</v>
      </c>
      <c r="K924" s="9">
        <v>375</v>
      </c>
      <c r="L924" s="9">
        <v>2026</v>
      </c>
      <c r="M924" s="8" t="s">
        <v>6011</v>
      </c>
      <c r="N924" s="8" t="s">
        <v>42</v>
      </c>
      <c r="O924" s="8" t="s">
        <v>169</v>
      </c>
      <c r="P924" s="6" t="s">
        <v>58</v>
      </c>
      <c r="Q924" s="8" t="s">
        <v>45</v>
      </c>
      <c r="R924" s="10" t="s">
        <v>6012</v>
      </c>
      <c r="S924" s="11" t="s">
        <v>6013</v>
      </c>
      <c r="T924" s="6"/>
      <c r="U924" s="24" t="str">
        <f>HYPERLINK("https://media.infra-m.ru/2224/2224188/cover/2224188.jpg", "Обложка")</f>
        <v>Обложка</v>
      </c>
      <c r="V924" s="24" t="str">
        <f>HYPERLINK("https://znanium.ru/catalog/product/2102044", "Ознакомиться")</f>
        <v>Ознакомиться</v>
      </c>
      <c r="W924" s="8" t="s">
        <v>2000</v>
      </c>
      <c r="X924" s="6"/>
      <c r="Y924" s="6"/>
      <c r="Z924" s="6" t="s">
        <v>48</v>
      </c>
      <c r="AA924" s="6" t="s">
        <v>999</v>
      </c>
      <c r="AB924" s="8"/>
    </row>
    <row r="925" spans="1:28" s="4" customFormat="1" ht="51.95" customHeight="1">
      <c r="A925" s="5">
        <v>0</v>
      </c>
      <c r="B925" s="6" t="s">
        <v>6014</v>
      </c>
      <c r="C925" s="7">
        <v>2350</v>
      </c>
      <c r="D925" s="8" t="s">
        <v>6015</v>
      </c>
      <c r="E925" s="8" t="s">
        <v>6016</v>
      </c>
      <c r="F925" s="8" t="s">
        <v>6017</v>
      </c>
      <c r="G925" s="6" t="s">
        <v>38</v>
      </c>
      <c r="H925" s="6" t="s">
        <v>54</v>
      </c>
      <c r="I925" s="8" t="s">
        <v>40</v>
      </c>
      <c r="J925" s="9">
        <v>1</v>
      </c>
      <c r="K925" s="9">
        <v>511</v>
      </c>
      <c r="L925" s="9">
        <v>2024</v>
      </c>
      <c r="M925" s="8" t="s">
        <v>6018</v>
      </c>
      <c r="N925" s="8" t="s">
        <v>42</v>
      </c>
      <c r="O925" s="8" t="s">
        <v>169</v>
      </c>
      <c r="P925" s="6" t="s">
        <v>58</v>
      </c>
      <c r="Q925" s="8" t="s">
        <v>45</v>
      </c>
      <c r="R925" s="10" t="s">
        <v>6019</v>
      </c>
      <c r="S925" s="11" t="s">
        <v>6020</v>
      </c>
      <c r="T925" s="6"/>
      <c r="U925" s="24" t="str">
        <f>HYPERLINK("https://media.infra-m.ru/2103/2103211/cover/2103211.jpg", "Обложка")</f>
        <v>Обложка</v>
      </c>
      <c r="V925" s="24" t="str">
        <f>HYPERLINK("https://znanium.ru/catalog/product/2103211", "Ознакомиться")</f>
        <v>Ознакомиться</v>
      </c>
      <c r="W925" s="8" t="s">
        <v>2000</v>
      </c>
      <c r="X925" s="6"/>
      <c r="Y925" s="6"/>
      <c r="Z925" s="6" t="s">
        <v>48</v>
      </c>
      <c r="AA925" s="6" t="s">
        <v>563</v>
      </c>
      <c r="AB925" s="8"/>
    </row>
    <row r="926" spans="1:28" s="4" customFormat="1" ht="51.95" customHeight="1">
      <c r="A926" s="5">
        <v>0</v>
      </c>
      <c r="B926" s="6" t="s">
        <v>6021</v>
      </c>
      <c r="C926" s="7">
        <v>1424</v>
      </c>
      <c r="D926" s="8" t="s">
        <v>6022</v>
      </c>
      <c r="E926" s="8" t="s">
        <v>6023</v>
      </c>
      <c r="F926" s="8" t="s">
        <v>6024</v>
      </c>
      <c r="G926" s="6" t="s">
        <v>38</v>
      </c>
      <c r="H926" s="6" t="s">
        <v>39</v>
      </c>
      <c r="I926" s="8" t="s">
        <v>69</v>
      </c>
      <c r="J926" s="9">
        <v>1</v>
      </c>
      <c r="K926" s="9">
        <v>304</v>
      </c>
      <c r="L926" s="9">
        <v>2024</v>
      </c>
      <c r="M926" s="8" t="s">
        <v>6025</v>
      </c>
      <c r="N926" s="8" t="s">
        <v>125</v>
      </c>
      <c r="O926" s="8" t="s">
        <v>1630</v>
      </c>
      <c r="P926" s="6" t="s">
        <v>44</v>
      </c>
      <c r="Q926" s="8" t="s">
        <v>45</v>
      </c>
      <c r="R926" s="10" t="s">
        <v>4848</v>
      </c>
      <c r="S926" s="11" t="s">
        <v>3257</v>
      </c>
      <c r="T926" s="6"/>
      <c r="U926" s="24" t="str">
        <f>HYPERLINK("https://media.infra-m.ru/2139/2139782/cover/2139782.jpg", "Обложка")</f>
        <v>Обложка</v>
      </c>
      <c r="V926" s="12"/>
      <c r="W926" s="8" t="s">
        <v>277</v>
      </c>
      <c r="X926" s="6"/>
      <c r="Y926" s="6"/>
      <c r="Z926" s="6"/>
      <c r="AA926" s="6" t="s">
        <v>835</v>
      </c>
      <c r="AB926" s="8"/>
    </row>
    <row r="927" spans="1:28" s="4" customFormat="1" ht="51.95" customHeight="1">
      <c r="A927" s="5">
        <v>0</v>
      </c>
      <c r="B927" s="6" t="s">
        <v>6026</v>
      </c>
      <c r="C927" s="13">
        <v>604</v>
      </c>
      <c r="D927" s="8" t="s">
        <v>6027</v>
      </c>
      <c r="E927" s="8" t="s">
        <v>6028</v>
      </c>
      <c r="F927" s="8" t="s">
        <v>6029</v>
      </c>
      <c r="G927" s="6" t="s">
        <v>67</v>
      </c>
      <c r="H927" s="6" t="s">
        <v>39</v>
      </c>
      <c r="I927" s="8" t="s">
        <v>40</v>
      </c>
      <c r="J927" s="9">
        <v>1</v>
      </c>
      <c r="K927" s="9">
        <v>128</v>
      </c>
      <c r="L927" s="9">
        <v>2024</v>
      </c>
      <c r="M927" s="8" t="s">
        <v>6030</v>
      </c>
      <c r="N927" s="8" t="s">
        <v>535</v>
      </c>
      <c r="O927" s="8" t="s">
        <v>1048</v>
      </c>
      <c r="P927" s="6" t="s">
        <v>44</v>
      </c>
      <c r="Q927" s="8" t="s">
        <v>45</v>
      </c>
      <c r="R927" s="10" t="s">
        <v>6031</v>
      </c>
      <c r="S927" s="11" t="s">
        <v>6032</v>
      </c>
      <c r="T927" s="6"/>
      <c r="U927" s="24" t="str">
        <f>HYPERLINK("https://media.infra-m.ru/2145/2145336/cover/2145336.jpg", "Обложка")</f>
        <v>Обложка</v>
      </c>
      <c r="V927" s="24" t="str">
        <f>HYPERLINK("https://znanium.ru/catalog/product/1227707", "Ознакомиться")</f>
        <v>Ознакомиться</v>
      </c>
      <c r="W927" s="8" t="s">
        <v>155</v>
      </c>
      <c r="X927" s="6"/>
      <c r="Y927" s="6"/>
      <c r="Z927" s="6" t="s">
        <v>48</v>
      </c>
      <c r="AA927" s="6" t="s">
        <v>740</v>
      </c>
      <c r="AB927" s="8"/>
    </row>
    <row r="928" spans="1:28" s="4" customFormat="1" ht="51.95" customHeight="1">
      <c r="A928" s="5">
        <v>0</v>
      </c>
      <c r="B928" s="6" t="s">
        <v>6033</v>
      </c>
      <c r="C928" s="13">
        <v>840</v>
      </c>
      <c r="D928" s="8" t="s">
        <v>6034</v>
      </c>
      <c r="E928" s="8" t="s">
        <v>6035</v>
      </c>
      <c r="F928" s="8" t="s">
        <v>6036</v>
      </c>
      <c r="G928" s="6" t="s">
        <v>90</v>
      </c>
      <c r="H928" s="6" t="s">
        <v>39</v>
      </c>
      <c r="I928" s="8" t="s">
        <v>40</v>
      </c>
      <c r="J928" s="9">
        <v>1</v>
      </c>
      <c r="K928" s="9">
        <v>208</v>
      </c>
      <c r="L928" s="9">
        <v>2022</v>
      </c>
      <c r="M928" s="8" t="s">
        <v>6037</v>
      </c>
      <c r="N928" s="8" t="s">
        <v>535</v>
      </c>
      <c r="O928" s="8" t="s">
        <v>1048</v>
      </c>
      <c r="P928" s="6" t="s">
        <v>58</v>
      </c>
      <c r="Q928" s="8" t="s">
        <v>45</v>
      </c>
      <c r="R928" s="10" t="s">
        <v>6038</v>
      </c>
      <c r="S928" s="11" t="s">
        <v>6039</v>
      </c>
      <c r="T928" s="6"/>
      <c r="U928" s="24" t="str">
        <f>HYPERLINK("https://media.infra-m.ru/1854/1854406/cover/1854406.jpg", "Обложка")</f>
        <v>Обложка</v>
      </c>
      <c r="V928" s="24" t="str">
        <f>HYPERLINK("https://znanium.ru/catalog/product/1854406", "Ознакомиться")</f>
        <v>Ознакомиться</v>
      </c>
      <c r="W928" s="8" t="s">
        <v>190</v>
      </c>
      <c r="X928" s="6"/>
      <c r="Y928" s="6"/>
      <c r="Z928" s="6" t="s">
        <v>48</v>
      </c>
      <c r="AA928" s="6" t="s">
        <v>740</v>
      </c>
      <c r="AB928" s="8"/>
    </row>
    <row r="929" spans="1:28" s="4" customFormat="1" ht="51.95" customHeight="1">
      <c r="A929" s="5">
        <v>0</v>
      </c>
      <c r="B929" s="6" t="s">
        <v>6040</v>
      </c>
      <c r="C929" s="7">
        <v>1514</v>
      </c>
      <c r="D929" s="8" t="s">
        <v>6041</v>
      </c>
      <c r="E929" s="8" t="s">
        <v>6042</v>
      </c>
      <c r="F929" s="8" t="s">
        <v>6043</v>
      </c>
      <c r="G929" s="6" t="s">
        <v>90</v>
      </c>
      <c r="H929" s="6" t="s">
        <v>54</v>
      </c>
      <c r="I929" s="8" t="s">
        <v>40</v>
      </c>
      <c r="J929" s="9">
        <v>1</v>
      </c>
      <c r="K929" s="9">
        <v>322</v>
      </c>
      <c r="L929" s="9">
        <v>2024</v>
      </c>
      <c r="M929" s="8" t="s">
        <v>6044</v>
      </c>
      <c r="N929" s="8" t="s">
        <v>535</v>
      </c>
      <c r="O929" s="8" t="s">
        <v>1048</v>
      </c>
      <c r="P929" s="6" t="s">
        <v>44</v>
      </c>
      <c r="Q929" s="8" t="s">
        <v>45</v>
      </c>
      <c r="R929" s="10" t="s">
        <v>6045</v>
      </c>
      <c r="S929" s="11" t="s">
        <v>6046</v>
      </c>
      <c r="T929" s="6"/>
      <c r="U929" s="24" t="str">
        <f>HYPERLINK("https://media.infra-m.ru/2155/2155299/cover/2155299.jpg", "Обложка")</f>
        <v>Обложка</v>
      </c>
      <c r="V929" s="24" t="str">
        <f>HYPERLINK("https://znanium.ru/catalog/product/2161255", "Ознакомиться")</f>
        <v>Ознакомиться</v>
      </c>
      <c r="W929" s="8" t="s">
        <v>547</v>
      </c>
      <c r="X929" s="6"/>
      <c r="Y929" s="6"/>
      <c r="Z929" s="6" t="s">
        <v>207</v>
      </c>
      <c r="AA929" s="6" t="s">
        <v>999</v>
      </c>
      <c r="AB929" s="8"/>
    </row>
    <row r="930" spans="1:28" s="4" customFormat="1" ht="44.1" customHeight="1">
      <c r="A930" s="5">
        <v>0</v>
      </c>
      <c r="B930" s="6" t="s">
        <v>6047</v>
      </c>
      <c r="C930" s="7">
        <v>1920</v>
      </c>
      <c r="D930" s="8" t="s">
        <v>6048</v>
      </c>
      <c r="E930" s="8" t="s">
        <v>6049</v>
      </c>
      <c r="F930" s="8" t="s">
        <v>6043</v>
      </c>
      <c r="G930" s="6" t="s">
        <v>90</v>
      </c>
      <c r="H930" s="6" t="s">
        <v>54</v>
      </c>
      <c r="I930" s="8" t="s">
        <v>40</v>
      </c>
      <c r="J930" s="9">
        <v>1</v>
      </c>
      <c r="K930" s="9">
        <v>383</v>
      </c>
      <c r="L930" s="9">
        <v>2025</v>
      </c>
      <c r="M930" s="8" t="s">
        <v>6050</v>
      </c>
      <c r="N930" s="8" t="s">
        <v>535</v>
      </c>
      <c r="O930" s="8" t="s">
        <v>1048</v>
      </c>
      <c r="P930" s="6" t="s">
        <v>44</v>
      </c>
      <c r="Q930" s="8" t="s">
        <v>45</v>
      </c>
      <c r="R930" s="10" t="s">
        <v>6045</v>
      </c>
      <c r="S930" s="11"/>
      <c r="T930" s="6"/>
      <c r="U930" s="24" t="str">
        <f>HYPERLINK("https://media.infra-m.ru/2161/2161255/cover/2161255.jpg", "Обложка")</f>
        <v>Обложка</v>
      </c>
      <c r="V930" s="24" t="str">
        <f>HYPERLINK("https://znanium.ru/catalog/product/2161255", "Ознакомиться")</f>
        <v>Ознакомиться</v>
      </c>
      <c r="W930" s="8" t="s">
        <v>547</v>
      </c>
      <c r="X930" s="6" t="s">
        <v>367</v>
      </c>
      <c r="Y930" s="6"/>
      <c r="Z930" s="6" t="s">
        <v>207</v>
      </c>
      <c r="AA930" s="6" t="s">
        <v>368</v>
      </c>
      <c r="AB930" s="8"/>
    </row>
    <row r="931" spans="1:28" s="4" customFormat="1" ht="51.95" customHeight="1">
      <c r="A931" s="5">
        <v>0</v>
      </c>
      <c r="B931" s="6" t="s">
        <v>6051</v>
      </c>
      <c r="C931" s="7">
        <v>1464</v>
      </c>
      <c r="D931" s="8" t="s">
        <v>6052</v>
      </c>
      <c r="E931" s="8" t="s">
        <v>6035</v>
      </c>
      <c r="F931" s="8" t="s">
        <v>6053</v>
      </c>
      <c r="G931" s="6" t="s">
        <v>38</v>
      </c>
      <c r="H931" s="6" t="s">
        <v>54</v>
      </c>
      <c r="I931" s="8" t="s">
        <v>40</v>
      </c>
      <c r="J931" s="9">
        <v>1</v>
      </c>
      <c r="K931" s="9">
        <v>292</v>
      </c>
      <c r="L931" s="9">
        <v>2023</v>
      </c>
      <c r="M931" s="8" t="s">
        <v>6054</v>
      </c>
      <c r="N931" s="8" t="s">
        <v>535</v>
      </c>
      <c r="O931" s="8" t="s">
        <v>1048</v>
      </c>
      <c r="P931" s="6" t="s">
        <v>44</v>
      </c>
      <c r="Q931" s="8" t="s">
        <v>45</v>
      </c>
      <c r="R931" s="10" t="s">
        <v>6055</v>
      </c>
      <c r="S931" s="11" t="s">
        <v>6056</v>
      </c>
      <c r="T931" s="6"/>
      <c r="U931" s="24" t="str">
        <f>HYPERLINK("https://media.infra-m.ru/1976/1976195/cover/1976195.jpg", "Обложка")</f>
        <v>Обложка</v>
      </c>
      <c r="V931" s="24" t="str">
        <f>HYPERLINK("https://znanium.ru/catalog/product/1023596", "Ознакомиться")</f>
        <v>Ознакомиться</v>
      </c>
      <c r="W931" s="8" t="s">
        <v>1581</v>
      </c>
      <c r="X931" s="6"/>
      <c r="Y931" s="6"/>
      <c r="Z931" s="6" t="s">
        <v>48</v>
      </c>
      <c r="AA931" s="6" t="s">
        <v>111</v>
      </c>
      <c r="AB931" s="8"/>
    </row>
    <row r="932" spans="1:28" s="4" customFormat="1" ht="51.95" customHeight="1">
      <c r="A932" s="5">
        <v>0</v>
      </c>
      <c r="B932" s="6" t="s">
        <v>6057</v>
      </c>
      <c r="C932" s="7">
        <v>1414</v>
      </c>
      <c r="D932" s="8" t="s">
        <v>6058</v>
      </c>
      <c r="E932" s="8" t="s">
        <v>6059</v>
      </c>
      <c r="F932" s="8" t="s">
        <v>6060</v>
      </c>
      <c r="G932" s="6" t="s">
        <v>38</v>
      </c>
      <c r="H932" s="6" t="s">
        <v>54</v>
      </c>
      <c r="I932" s="8" t="s">
        <v>40</v>
      </c>
      <c r="J932" s="9">
        <v>1</v>
      </c>
      <c r="K932" s="9">
        <v>271</v>
      </c>
      <c r="L932" s="9">
        <v>2026</v>
      </c>
      <c r="M932" s="8" t="s">
        <v>6061</v>
      </c>
      <c r="N932" s="8" t="s">
        <v>42</v>
      </c>
      <c r="O932" s="8" t="s">
        <v>169</v>
      </c>
      <c r="P932" s="6" t="s">
        <v>44</v>
      </c>
      <c r="Q932" s="8" t="s">
        <v>45</v>
      </c>
      <c r="R932" s="10" t="s">
        <v>6062</v>
      </c>
      <c r="S932" s="11" t="s">
        <v>6063</v>
      </c>
      <c r="T932" s="6"/>
      <c r="U932" s="24" t="str">
        <f>HYPERLINK("https://media.infra-m.ru/2221/2221573/cover/2221573.jpg", "Обложка")</f>
        <v>Обложка</v>
      </c>
      <c r="V932" s="24" t="str">
        <f>HYPERLINK("https://znanium.ru/catalog/product/2132083", "Ознакомиться")</f>
        <v>Ознакомиться</v>
      </c>
      <c r="W932" s="8" t="s">
        <v>5764</v>
      </c>
      <c r="X932" s="6"/>
      <c r="Y932" s="6"/>
      <c r="Z932" s="6" t="s">
        <v>48</v>
      </c>
      <c r="AA932" s="6" t="s">
        <v>500</v>
      </c>
      <c r="AB932" s="8"/>
    </row>
    <row r="933" spans="1:28" s="4" customFormat="1" ht="51.95" customHeight="1">
      <c r="A933" s="5">
        <v>0</v>
      </c>
      <c r="B933" s="6" t="s">
        <v>6064</v>
      </c>
      <c r="C933" s="7">
        <v>1240</v>
      </c>
      <c r="D933" s="8" t="s">
        <v>6065</v>
      </c>
      <c r="E933" s="8" t="s">
        <v>6066</v>
      </c>
      <c r="F933" s="8" t="s">
        <v>6067</v>
      </c>
      <c r="G933" s="6" t="s">
        <v>67</v>
      </c>
      <c r="H933" s="6" t="s">
        <v>54</v>
      </c>
      <c r="I933" s="8" t="s">
        <v>40</v>
      </c>
      <c r="J933" s="9">
        <v>1</v>
      </c>
      <c r="K933" s="9">
        <v>116</v>
      </c>
      <c r="L933" s="9">
        <v>2026</v>
      </c>
      <c r="M933" s="8" t="s">
        <v>6068</v>
      </c>
      <c r="N933" s="8" t="s">
        <v>56</v>
      </c>
      <c r="O933" s="8" t="s">
        <v>807</v>
      </c>
      <c r="P933" s="6" t="s">
        <v>58</v>
      </c>
      <c r="Q933" s="8" t="s">
        <v>45</v>
      </c>
      <c r="R933" s="10" t="s">
        <v>6069</v>
      </c>
      <c r="S933" s="11"/>
      <c r="T933" s="6"/>
      <c r="U933" s="24" t="str">
        <f>HYPERLINK("https://media.infra-m.ru/2215/2215747/cover/2215747.jpg", "Обложка")</f>
        <v>Обложка</v>
      </c>
      <c r="V933" s="24" t="str">
        <f>HYPERLINK("https://znanium.ru/catalog/product/2215747", "Ознакомиться")</f>
        <v>Ознакомиться</v>
      </c>
      <c r="W933" s="8" t="s">
        <v>538</v>
      </c>
      <c r="X933" s="6"/>
      <c r="Y933" s="6"/>
      <c r="Z933" s="6" t="s">
        <v>207</v>
      </c>
      <c r="AA933" s="6" t="s">
        <v>84</v>
      </c>
      <c r="AB933" s="8"/>
    </row>
    <row r="934" spans="1:28" s="4" customFormat="1" ht="51.95" customHeight="1">
      <c r="A934" s="5">
        <v>0</v>
      </c>
      <c r="B934" s="6" t="s">
        <v>6070</v>
      </c>
      <c r="C934" s="7">
        <v>1974</v>
      </c>
      <c r="D934" s="8" t="s">
        <v>6071</v>
      </c>
      <c r="E934" s="8" t="s">
        <v>6072</v>
      </c>
      <c r="F934" s="8" t="s">
        <v>6073</v>
      </c>
      <c r="G934" s="6" t="s">
        <v>90</v>
      </c>
      <c r="H934" s="6" t="s">
        <v>54</v>
      </c>
      <c r="I934" s="8" t="s">
        <v>40</v>
      </c>
      <c r="J934" s="9">
        <v>1</v>
      </c>
      <c r="K934" s="9">
        <v>359</v>
      </c>
      <c r="L934" s="9">
        <v>2026</v>
      </c>
      <c r="M934" s="8" t="s">
        <v>6074</v>
      </c>
      <c r="N934" s="8" t="s">
        <v>56</v>
      </c>
      <c r="O934" s="8" t="s">
        <v>57</v>
      </c>
      <c r="P934" s="6" t="s">
        <v>58</v>
      </c>
      <c r="Q934" s="8" t="s">
        <v>45</v>
      </c>
      <c r="R934" s="10" t="s">
        <v>6075</v>
      </c>
      <c r="S934" s="11" t="s">
        <v>6076</v>
      </c>
      <c r="T934" s="6"/>
      <c r="U934" s="24" t="str">
        <f>HYPERLINK("https://media.infra-m.ru/2223/2223532/cover/2223532.jpg", "Обложка")</f>
        <v>Обложка</v>
      </c>
      <c r="V934" s="24" t="str">
        <f>HYPERLINK("https://znanium.ru/catalog/product/2129204", "Ознакомиться")</f>
        <v>Ознакомиться</v>
      </c>
      <c r="W934" s="8" t="s">
        <v>6077</v>
      </c>
      <c r="X934" s="6"/>
      <c r="Y934" s="6"/>
      <c r="Z934" s="6" t="s">
        <v>48</v>
      </c>
      <c r="AA934" s="6" t="s">
        <v>111</v>
      </c>
      <c r="AB934" s="8"/>
    </row>
    <row r="935" spans="1:28" s="4" customFormat="1" ht="51.95" customHeight="1">
      <c r="A935" s="5">
        <v>0</v>
      </c>
      <c r="B935" s="6" t="s">
        <v>6078</v>
      </c>
      <c r="C935" s="7">
        <v>1584</v>
      </c>
      <c r="D935" s="8" t="s">
        <v>6079</v>
      </c>
      <c r="E935" s="8" t="s">
        <v>6080</v>
      </c>
      <c r="F935" s="8" t="s">
        <v>3690</v>
      </c>
      <c r="G935" s="6" t="s">
        <v>90</v>
      </c>
      <c r="H935" s="6" t="s">
        <v>299</v>
      </c>
      <c r="I935" s="8" t="s">
        <v>40</v>
      </c>
      <c r="J935" s="9">
        <v>1</v>
      </c>
      <c r="K935" s="9">
        <v>304</v>
      </c>
      <c r="L935" s="9">
        <v>2026</v>
      </c>
      <c r="M935" s="8" t="s">
        <v>6081</v>
      </c>
      <c r="N935" s="8" t="s">
        <v>125</v>
      </c>
      <c r="O935" s="8" t="s">
        <v>126</v>
      </c>
      <c r="P935" s="6" t="s">
        <v>44</v>
      </c>
      <c r="Q935" s="8" t="s">
        <v>45</v>
      </c>
      <c r="R935" s="10" t="s">
        <v>6082</v>
      </c>
      <c r="S935" s="11" t="s">
        <v>1106</v>
      </c>
      <c r="T935" s="6"/>
      <c r="U935" s="24" t="str">
        <f>HYPERLINK("https://media.infra-m.ru/2218/2218745/cover/2218745.jpg", "Обложка")</f>
        <v>Обложка</v>
      </c>
      <c r="V935" s="24" t="str">
        <f>HYPERLINK("https://znanium.ru/catalog/product/2183422", "Ознакомиться")</f>
        <v>Ознакомиться</v>
      </c>
      <c r="W935" s="8" t="s">
        <v>466</v>
      </c>
      <c r="X935" s="6"/>
      <c r="Y935" s="6" t="s">
        <v>30</v>
      </c>
      <c r="Z935" s="6"/>
      <c r="AA935" s="6" t="s">
        <v>835</v>
      </c>
      <c r="AB935" s="8"/>
    </row>
    <row r="936" spans="1:28" s="4" customFormat="1" ht="51.95" customHeight="1">
      <c r="A936" s="5">
        <v>0</v>
      </c>
      <c r="B936" s="6" t="s">
        <v>6083</v>
      </c>
      <c r="C936" s="13">
        <v>554</v>
      </c>
      <c r="D936" s="8" t="s">
        <v>6084</v>
      </c>
      <c r="E936" s="8" t="s">
        <v>6085</v>
      </c>
      <c r="F936" s="8" t="s">
        <v>6086</v>
      </c>
      <c r="G936" s="6" t="s">
        <v>38</v>
      </c>
      <c r="H936" s="6" t="s">
        <v>68</v>
      </c>
      <c r="I936" s="8" t="s">
        <v>1110</v>
      </c>
      <c r="J936" s="9">
        <v>1</v>
      </c>
      <c r="K936" s="9">
        <v>111</v>
      </c>
      <c r="L936" s="9">
        <v>2025</v>
      </c>
      <c r="M936" s="8" t="s">
        <v>6087</v>
      </c>
      <c r="N936" s="8" t="s">
        <v>125</v>
      </c>
      <c r="O936" s="8" t="s">
        <v>126</v>
      </c>
      <c r="P936" s="6" t="s">
        <v>44</v>
      </c>
      <c r="Q936" s="8" t="s">
        <v>45</v>
      </c>
      <c r="R936" s="10" t="s">
        <v>6088</v>
      </c>
      <c r="S936" s="11" t="s">
        <v>2240</v>
      </c>
      <c r="T936" s="6"/>
      <c r="U936" s="24" t="str">
        <f>HYPERLINK("https://media.infra-m.ru/2163/2163904/cover/2163904.jpg", "Обложка")</f>
        <v>Обложка</v>
      </c>
      <c r="V936" s="24" t="str">
        <f>HYPERLINK("https://znanium.ru/catalog/product/1229811", "Ознакомиться")</f>
        <v>Ознакомиться</v>
      </c>
      <c r="W936" s="8" t="s">
        <v>2241</v>
      </c>
      <c r="X936" s="6"/>
      <c r="Y936" s="6" t="s">
        <v>30</v>
      </c>
      <c r="Z936" s="6"/>
      <c r="AA936" s="6" t="s">
        <v>147</v>
      </c>
      <c r="AB936" s="8"/>
    </row>
    <row r="937" spans="1:28" s="4" customFormat="1" ht="42" customHeight="1">
      <c r="A937" s="5">
        <v>0</v>
      </c>
      <c r="B937" s="6" t="s">
        <v>6089</v>
      </c>
      <c r="C937" s="7">
        <v>1260</v>
      </c>
      <c r="D937" s="8" t="s">
        <v>6090</v>
      </c>
      <c r="E937" s="8" t="s">
        <v>6091</v>
      </c>
      <c r="F937" s="8" t="s">
        <v>6092</v>
      </c>
      <c r="G937" s="6" t="s">
        <v>90</v>
      </c>
      <c r="H937" s="6" t="s">
        <v>134</v>
      </c>
      <c r="I937" s="8" t="s">
        <v>40</v>
      </c>
      <c r="J937" s="9">
        <v>1</v>
      </c>
      <c r="K937" s="9">
        <v>272</v>
      </c>
      <c r="L937" s="9">
        <v>2024</v>
      </c>
      <c r="M937" s="8" t="s">
        <v>6093</v>
      </c>
      <c r="N937" s="8" t="s">
        <v>125</v>
      </c>
      <c r="O937" s="8" t="s">
        <v>352</v>
      </c>
      <c r="P937" s="6" t="s">
        <v>44</v>
      </c>
      <c r="Q937" s="8" t="s">
        <v>45</v>
      </c>
      <c r="R937" s="10" t="s">
        <v>108</v>
      </c>
      <c r="S937" s="11"/>
      <c r="T937" s="6"/>
      <c r="U937" s="24" t="str">
        <f>HYPERLINK("https://media.infra-m.ru/2096/2096783/cover/2096783.jpg", "Обложка")</f>
        <v>Обложка</v>
      </c>
      <c r="V937" s="24" t="str">
        <f>HYPERLINK("https://znanium.ru/catalog/product/2096783", "Ознакомиться")</f>
        <v>Ознакомиться</v>
      </c>
      <c r="W937" s="8" t="s">
        <v>1014</v>
      </c>
      <c r="X937" s="6"/>
      <c r="Y937" s="6"/>
      <c r="Z937" s="6" t="s">
        <v>48</v>
      </c>
      <c r="AA937" s="6" t="s">
        <v>102</v>
      </c>
      <c r="AB937" s="8"/>
    </row>
    <row r="938" spans="1:28" s="4" customFormat="1" ht="51.95" customHeight="1">
      <c r="A938" s="5">
        <v>0</v>
      </c>
      <c r="B938" s="6" t="s">
        <v>6094</v>
      </c>
      <c r="C938" s="7">
        <v>1050</v>
      </c>
      <c r="D938" s="8" t="s">
        <v>6095</v>
      </c>
      <c r="E938" s="8" t="s">
        <v>6096</v>
      </c>
      <c r="F938" s="8" t="s">
        <v>6097</v>
      </c>
      <c r="G938" s="6" t="s">
        <v>90</v>
      </c>
      <c r="H938" s="6" t="s">
        <v>54</v>
      </c>
      <c r="I938" s="8" t="s">
        <v>40</v>
      </c>
      <c r="J938" s="9">
        <v>1</v>
      </c>
      <c r="K938" s="9">
        <v>198</v>
      </c>
      <c r="L938" s="9">
        <v>2026</v>
      </c>
      <c r="M938" s="8" t="s">
        <v>6098</v>
      </c>
      <c r="N938" s="8" t="s">
        <v>1306</v>
      </c>
      <c r="O938" s="8" t="s">
        <v>1307</v>
      </c>
      <c r="P938" s="6" t="s">
        <v>44</v>
      </c>
      <c r="Q938" s="8" t="s">
        <v>45</v>
      </c>
      <c r="R938" s="10" t="s">
        <v>6099</v>
      </c>
      <c r="S938" s="11" t="s">
        <v>6100</v>
      </c>
      <c r="T938" s="6"/>
      <c r="U938" s="24" t="str">
        <f>HYPERLINK("https://media.infra-m.ru/2215/2215377/cover/2215377.jpg", "Обложка")</f>
        <v>Обложка</v>
      </c>
      <c r="V938" s="24" t="str">
        <f>HYPERLINK("https://znanium.ru/catalog/product/2215377", "Ознакомиться")</f>
        <v>Ознакомиться</v>
      </c>
      <c r="W938" s="8" t="s">
        <v>956</v>
      </c>
      <c r="X938" s="6"/>
      <c r="Y938" s="6"/>
      <c r="Z938" s="6" t="s">
        <v>48</v>
      </c>
      <c r="AA938" s="6" t="s">
        <v>223</v>
      </c>
      <c r="AB938" s="8"/>
    </row>
    <row r="939" spans="1:28" s="4" customFormat="1" ht="51.95" customHeight="1">
      <c r="A939" s="5">
        <v>0</v>
      </c>
      <c r="B939" s="6" t="s">
        <v>6101</v>
      </c>
      <c r="C939" s="7">
        <v>1134</v>
      </c>
      <c r="D939" s="8" t="s">
        <v>6102</v>
      </c>
      <c r="E939" s="8" t="s">
        <v>6103</v>
      </c>
      <c r="F939" s="8" t="s">
        <v>2132</v>
      </c>
      <c r="G939" s="6" t="s">
        <v>90</v>
      </c>
      <c r="H939" s="6" t="s">
        <v>54</v>
      </c>
      <c r="I939" s="8" t="s">
        <v>40</v>
      </c>
      <c r="J939" s="9">
        <v>1</v>
      </c>
      <c r="K939" s="9">
        <v>242</v>
      </c>
      <c r="L939" s="9">
        <v>2024</v>
      </c>
      <c r="M939" s="8" t="s">
        <v>6104</v>
      </c>
      <c r="N939" s="8" t="s">
        <v>535</v>
      </c>
      <c r="O939" s="8" t="s">
        <v>1048</v>
      </c>
      <c r="P939" s="6" t="s">
        <v>44</v>
      </c>
      <c r="Q939" s="8" t="s">
        <v>45</v>
      </c>
      <c r="R939" s="10" t="s">
        <v>6105</v>
      </c>
      <c r="S939" s="11" t="s">
        <v>6106</v>
      </c>
      <c r="T939" s="6"/>
      <c r="U939" s="24" t="str">
        <f>HYPERLINK("https://media.infra-m.ru/2155/2155759/cover/2155759.jpg", "Обложка")</f>
        <v>Обложка</v>
      </c>
      <c r="V939" s="24" t="str">
        <f>HYPERLINK("https://znanium.ru/catalog/product/1851433", "Ознакомиться")</f>
        <v>Ознакомиться</v>
      </c>
      <c r="W939" s="8" t="s">
        <v>2136</v>
      </c>
      <c r="X939" s="6"/>
      <c r="Y939" s="6"/>
      <c r="Z939" s="6" t="s">
        <v>48</v>
      </c>
      <c r="AA939" s="6" t="s">
        <v>223</v>
      </c>
      <c r="AB939" s="8"/>
    </row>
    <row r="940" spans="1:28" s="4" customFormat="1" ht="51.95" customHeight="1">
      <c r="A940" s="5">
        <v>0</v>
      </c>
      <c r="B940" s="6" t="s">
        <v>6107</v>
      </c>
      <c r="C940" s="7">
        <v>1444.9</v>
      </c>
      <c r="D940" s="8" t="s">
        <v>6108</v>
      </c>
      <c r="E940" s="8" t="s">
        <v>6109</v>
      </c>
      <c r="F940" s="8" t="s">
        <v>6110</v>
      </c>
      <c r="G940" s="6" t="s">
        <v>38</v>
      </c>
      <c r="H940" s="6" t="s">
        <v>54</v>
      </c>
      <c r="I940" s="8" t="s">
        <v>40</v>
      </c>
      <c r="J940" s="9">
        <v>1</v>
      </c>
      <c r="K940" s="9">
        <v>321</v>
      </c>
      <c r="L940" s="9">
        <v>2023</v>
      </c>
      <c r="M940" s="8" t="s">
        <v>6111</v>
      </c>
      <c r="N940" s="8" t="s">
        <v>42</v>
      </c>
      <c r="O940" s="8" t="s">
        <v>169</v>
      </c>
      <c r="P940" s="6" t="s">
        <v>44</v>
      </c>
      <c r="Q940" s="8" t="s">
        <v>45</v>
      </c>
      <c r="R940" s="10" t="s">
        <v>6112</v>
      </c>
      <c r="S940" s="11" t="s">
        <v>6113</v>
      </c>
      <c r="T940" s="6"/>
      <c r="U940" s="24" t="str">
        <f>HYPERLINK("https://media.infra-m.ru/1976/1976189/cover/1976189.jpg", "Обложка")</f>
        <v>Обложка</v>
      </c>
      <c r="V940" s="24" t="str">
        <f>HYPERLINK("https://znanium.ru/catalog/product/1021724", "Ознакомиться")</f>
        <v>Ознакомиться</v>
      </c>
      <c r="W940" s="8" t="s">
        <v>593</v>
      </c>
      <c r="X940" s="6"/>
      <c r="Y940" s="6"/>
      <c r="Z940" s="6" t="s">
        <v>48</v>
      </c>
      <c r="AA940" s="6" t="s">
        <v>740</v>
      </c>
      <c r="AB940" s="8"/>
    </row>
    <row r="941" spans="1:28" s="4" customFormat="1" ht="51.95" customHeight="1">
      <c r="A941" s="5">
        <v>0</v>
      </c>
      <c r="B941" s="6" t="s">
        <v>6114</v>
      </c>
      <c r="C941" s="7">
        <v>1050</v>
      </c>
      <c r="D941" s="8" t="s">
        <v>6115</v>
      </c>
      <c r="E941" s="8" t="s">
        <v>6116</v>
      </c>
      <c r="F941" s="8" t="s">
        <v>6117</v>
      </c>
      <c r="G941" s="6" t="s">
        <v>90</v>
      </c>
      <c r="H941" s="6" t="s">
        <v>54</v>
      </c>
      <c r="I941" s="8" t="s">
        <v>40</v>
      </c>
      <c r="J941" s="9">
        <v>1</v>
      </c>
      <c r="K941" s="9">
        <v>203</v>
      </c>
      <c r="L941" s="9">
        <v>2025</v>
      </c>
      <c r="M941" s="8" t="s">
        <v>6118</v>
      </c>
      <c r="N941" s="8" t="s">
        <v>42</v>
      </c>
      <c r="O941" s="8" t="s">
        <v>169</v>
      </c>
      <c r="P941" s="6" t="s">
        <v>44</v>
      </c>
      <c r="Q941" s="8" t="s">
        <v>45</v>
      </c>
      <c r="R941" s="10" t="s">
        <v>6119</v>
      </c>
      <c r="S941" s="11"/>
      <c r="T941" s="6"/>
      <c r="U941" s="24" t="str">
        <f>HYPERLINK("https://media.infra-m.ru/2170/2170814/cover/2170814.jpg", "Обложка")</f>
        <v>Обложка</v>
      </c>
      <c r="V941" s="24" t="str">
        <f>HYPERLINK("https://znanium.ru/catalog/product/2170814", "Ознакомиться")</f>
        <v>Ознакомиться</v>
      </c>
      <c r="W941" s="8" t="s">
        <v>6120</v>
      </c>
      <c r="X941" s="6"/>
      <c r="Y941" s="6"/>
      <c r="Z941" s="6"/>
      <c r="AA941" s="6" t="s">
        <v>354</v>
      </c>
      <c r="AB941" s="8" t="s">
        <v>2908</v>
      </c>
    </row>
    <row r="942" spans="1:28" s="4" customFormat="1" ht="51.95" customHeight="1">
      <c r="A942" s="5">
        <v>0</v>
      </c>
      <c r="B942" s="6" t="s">
        <v>6121</v>
      </c>
      <c r="C942" s="7">
        <v>1220</v>
      </c>
      <c r="D942" s="8" t="s">
        <v>6122</v>
      </c>
      <c r="E942" s="8" t="s">
        <v>6123</v>
      </c>
      <c r="F942" s="8" t="s">
        <v>6124</v>
      </c>
      <c r="G942" s="6" t="s">
        <v>90</v>
      </c>
      <c r="H942" s="6" t="s">
        <v>824</v>
      </c>
      <c r="I942" s="8" t="s">
        <v>40</v>
      </c>
      <c r="J942" s="9">
        <v>1</v>
      </c>
      <c r="K942" s="9">
        <v>224</v>
      </c>
      <c r="L942" s="9">
        <v>2026</v>
      </c>
      <c r="M942" s="8" t="s">
        <v>6125</v>
      </c>
      <c r="N942" s="8" t="s">
        <v>42</v>
      </c>
      <c r="O942" s="8" t="s">
        <v>169</v>
      </c>
      <c r="P942" s="6" t="s">
        <v>58</v>
      </c>
      <c r="Q942" s="8" t="s">
        <v>45</v>
      </c>
      <c r="R942" s="10" t="s">
        <v>6126</v>
      </c>
      <c r="S942" s="11"/>
      <c r="T942" s="6"/>
      <c r="U942" s="24" t="str">
        <f>HYPERLINK("https://media.infra-m.ru/2215/2215731/cover/2215731.jpg", "Обложка")</f>
        <v>Обложка</v>
      </c>
      <c r="V942" s="24" t="str">
        <f>HYPERLINK("https://znanium.ru/catalog/product/2215731", "Ознакомиться")</f>
        <v>Ознакомиться</v>
      </c>
      <c r="W942" s="8" t="s">
        <v>172</v>
      </c>
      <c r="X942" s="6"/>
      <c r="Y942" s="6"/>
      <c r="Z942" s="6"/>
      <c r="AA942" s="6" t="s">
        <v>766</v>
      </c>
      <c r="AB942" s="8"/>
    </row>
    <row r="943" spans="1:28" s="4" customFormat="1" ht="42" customHeight="1">
      <c r="A943" s="5">
        <v>0</v>
      </c>
      <c r="B943" s="6" t="s">
        <v>6127</v>
      </c>
      <c r="C943" s="7">
        <v>1460</v>
      </c>
      <c r="D943" s="8" t="s">
        <v>6128</v>
      </c>
      <c r="E943" s="8" t="s">
        <v>6129</v>
      </c>
      <c r="F943" s="8" t="s">
        <v>6130</v>
      </c>
      <c r="G943" s="6" t="s">
        <v>38</v>
      </c>
      <c r="H943" s="6" t="s">
        <v>68</v>
      </c>
      <c r="I943" s="8" t="s">
        <v>69</v>
      </c>
      <c r="J943" s="9">
        <v>1</v>
      </c>
      <c r="K943" s="9">
        <v>280</v>
      </c>
      <c r="L943" s="9">
        <v>2025</v>
      </c>
      <c r="M943" s="8" t="s">
        <v>6131</v>
      </c>
      <c r="N943" s="8" t="s">
        <v>125</v>
      </c>
      <c r="O943" s="8" t="s">
        <v>1380</v>
      </c>
      <c r="P943" s="6" t="s">
        <v>58</v>
      </c>
      <c r="Q943" s="8" t="s">
        <v>45</v>
      </c>
      <c r="R943" s="10" t="s">
        <v>2884</v>
      </c>
      <c r="S943" s="11"/>
      <c r="T943" s="6" t="s">
        <v>118</v>
      </c>
      <c r="U943" s="24" t="str">
        <f>HYPERLINK("https://media.infra-m.ru/2192/2192115/cover/2192115.jpg", "Обложка")</f>
        <v>Обложка</v>
      </c>
      <c r="V943" s="24" t="str">
        <f>HYPERLINK("https://znanium.ru/catalog/product/2192115", "Ознакомиться")</f>
        <v>Ознакомиться</v>
      </c>
      <c r="W943" s="8" t="s">
        <v>4228</v>
      </c>
      <c r="X943" s="6" t="s">
        <v>727</v>
      </c>
      <c r="Y943" s="6"/>
      <c r="Z943" s="6"/>
      <c r="AA943" s="6" t="s">
        <v>84</v>
      </c>
      <c r="AB943" s="8"/>
    </row>
    <row r="944" spans="1:28" s="4" customFormat="1" ht="51.95" customHeight="1">
      <c r="A944" s="5">
        <v>0</v>
      </c>
      <c r="B944" s="6" t="s">
        <v>6132</v>
      </c>
      <c r="C944" s="7">
        <v>1670</v>
      </c>
      <c r="D944" s="8" t="s">
        <v>6133</v>
      </c>
      <c r="E944" s="8" t="s">
        <v>6134</v>
      </c>
      <c r="F944" s="8" t="s">
        <v>6135</v>
      </c>
      <c r="G944" s="6" t="s">
        <v>90</v>
      </c>
      <c r="H944" s="6" t="s">
        <v>54</v>
      </c>
      <c r="I944" s="8" t="s">
        <v>40</v>
      </c>
      <c r="J944" s="9">
        <v>1</v>
      </c>
      <c r="K944" s="9">
        <v>320</v>
      </c>
      <c r="L944" s="9">
        <v>2026</v>
      </c>
      <c r="M944" s="8" t="s">
        <v>6136</v>
      </c>
      <c r="N944" s="8" t="s">
        <v>125</v>
      </c>
      <c r="O944" s="8" t="s">
        <v>126</v>
      </c>
      <c r="P944" s="6" t="s">
        <v>58</v>
      </c>
      <c r="Q944" s="8" t="s">
        <v>45</v>
      </c>
      <c r="R944" s="10" t="s">
        <v>6137</v>
      </c>
      <c r="S944" s="11" t="s">
        <v>6138</v>
      </c>
      <c r="T944" s="6"/>
      <c r="U944" s="24" t="str">
        <f>HYPERLINK("https://media.infra-m.ru/2216/2216318/cover/2216318.jpg", "Обложка")</f>
        <v>Обложка</v>
      </c>
      <c r="V944" s="24" t="str">
        <f>HYPERLINK("https://znanium.ru/catalog/product/2216318", "Ознакомиться")</f>
        <v>Ознакомиться</v>
      </c>
      <c r="W944" s="8" t="s">
        <v>6139</v>
      </c>
      <c r="X944" s="6"/>
      <c r="Y944" s="6" t="s">
        <v>30</v>
      </c>
      <c r="Z944" s="6" t="s">
        <v>48</v>
      </c>
      <c r="AA944" s="6" t="s">
        <v>330</v>
      </c>
      <c r="AB944" s="8"/>
    </row>
    <row r="945" spans="1:28" s="4" customFormat="1" ht="51.95" customHeight="1">
      <c r="A945" s="5">
        <v>0</v>
      </c>
      <c r="B945" s="6" t="s">
        <v>6140</v>
      </c>
      <c r="C945" s="7">
        <v>2090</v>
      </c>
      <c r="D945" s="8" t="s">
        <v>6141</v>
      </c>
      <c r="E945" s="8" t="s">
        <v>6142</v>
      </c>
      <c r="F945" s="8" t="s">
        <v>1835</v>
      </c>
      <c r="G945" s="6" t="s">
        <v>38</v>
      </c>
      <c r="H945" s="6" t="s">
        <v>54</v>
      </c>
      <c r="I945" s="8" t="s">
        <v>40</v>
      </c>
      <c r="J945" s="9">
        <v>1</v>
      </c>
      <c r="K945" s="9">
        <v>401</v>
      </c>
      <c r="L945" s="9">
        <v>2025</v>
      </c>
      <c r="M945" s="8" t="s">
        <v>6143</v>
      </c>
      <c r="N945" s="8" t="s">
        <v>1306</v>
      </c>
      <c r="O945" s="8" t="s">
        <v>1307</v>
      </c>
      <c r="P945" s="6" t="s">
        <v>44</v>
      </c>
      <c r="Q945" s="8" t="s">
        <v>45</v>
      </c>
      <c r="R945" s="10" t="s">
        <v>6144</v>
      </c>
      <c r="S945" s="11" t="s">
        <v>6145</v>
      </c>
      <c r="T945" s="6"/>
      <c r="U945" s="24" t="str">
        <f>HYPERLINK("https://media.infra-m.ru/2201/2201623/cover/2201623.jpg", "Обложка")</f>
        <v>Обложка</v>
      </c>
      <c r="V945" s="24" t="str">
        <f>HYPERLINK("https://znanium.ru/catalog/product/2201623", "Ознакомиться")</f>
        <v>Ознакомиться</v>
      </c>
      <c r="W945" s="8" t="s">
        <v>1839</v>
      </c>
      <c r="X945" s="6"/>
      <c r="Y945" s="6"/>
      <c r="Z945" s="6" t="s">
        <v>48</v>
      </c>
      <c r="AA945" s="6" t="s">
        <v>393</v>
      </c>
      <c r="AB945" s="8"/>
    </row>
    <row r="946" spans="1:28" s="4" customFormat="1" ht="51.95" customHeight="1">
      <c r="A946" s="5">
        <v>0</v>
      </c>
      <c r="B946" s="6" t="s">
        <v>6146</v>
      </c>
      <c r="C946" s="7">
        <v>1055</v>
      </c>
      <c r="D946" s="8" t="s">
        <v>6147</v>
      </c>
      <c r="E946" s="8" t="s">
        <v>6148</v>
      </c>
      <c r="F946" s="8" t="s">
        <v>4924</v>
      </c>
      <c r="G946" s="6" t="s">
        <v>90</v>
      </c>
      <c r="H946" s="6" t="s">
        <v>299</v>
      </c>
      <c r="I946" s="8" t="s">
        <v>40</v>
      </c>
      <c r="J946" s="9">
        <v>1</v>
      </c>
      <c r="K946" s="9">
        <v>192</v>
      </c>
      <c r="L946" s="9">
        <v>2026</v>
      </c>
      <c r="M946" s="8" t="s">
        <v>6149</v>
      </c>
      <c r="N946" s="8" t="s">
        <v>56</v>
      </c>
      <c r="O946" s="8" t="s">
        <v>343</v>
      </c>
      <c r="P946" s="6" t="s">
        <v>44</v>
      </c>
      <c r="Q946" s="8" t="s">
        <v>45</v>
      </c>
      <c r="R946" s="10" t="s">
        <v>6150</v>
      </c>
      <c r="S946" s="11" t="s">
        <v>6151</v>
      </c>
      <c r="T946" s="6"/>
      <c r="U946" s="24" t="str">
        <f>HYPERLINK("https://media.infra-m.ru/2214/2214791/cover/2214791.jpg", "Обложка")</f>
        <v>Обложка</v>
      </c>
      <c r="V946" s="24" t="str">
        <f>HYPERLINK("https://znanium.ru/catalog/product/2212377", "Ознакомиться")</f>
        <v>Ознакомиться</v>
      </c>
      <c r="W946" s="8" t="s">
        <v>4166</v>
      </c>
      <c r="X946" s="6"/>
      <c r="Y946" s="6" t="s">
        <v>30</v>
      </c>
      <c r="Z946" s="6"/>
      <c r="AA946" s="6" t="s">
        <v>237</v>
      </c>
      <c r="AB946" s="8"/>
    </row>
    <row r="947" spans="1:28" s="4" customFormat="1" ht="42" customHeight="1">
      <c r="A947" s="5">
        <v>0</v>
      </c>
      <c r="B947" s="6" t="s">
        <v>6152</v>
      </c>
      <c r="C947" s="7">
        <v>1130</v>
      </c>
      <c r="D947" s="8" t="s">
        <v>6153</v>
      </c>
      <c r="E947" s="8" t="s">
        <v>6154</v>
      </c>
      <c r="F947" s="8" t="s">
        <v>4143</v>
      </c>
      <c r="G947" s="6" t="s">
        <v>90</v>
      </c>
      <c r="H947" s="6" t="s">
        <v>134</v>
      </c>
      <c r="I947" s="8" t="s">
        <v>40</v>
      </c>
      <c r="J947" s="9">
        <v>1</v>
      </c>
      <c r="K947" s="9">
        <v>251</v>
      </c>
      <c r="L947" s="9">
        <v>2023</v>
      </c>
      <c r="M947" s="8" t="s">
        <v>6155</v>
      </c>
      <c r="N947" s="8" t="s">
        <v>56</v>
      </c>
      <c r="O947" s="8" t="s">
        <v>343</v>
      </c>
      <c r="P947" s="6" t="s">
        <v>44</v>
      </c>
      <c r="Q947" s="8" t="s">
        <v>45</v>
      </c>
      <c r="R947" s="10" t="s">
        <v>6156</v>
      </c>
      <c r="S947" s="11"/>
      <c r="T947" s="6"/>
      <c r="U947" s="24" t="str">
        <f>HYPERLINK("https://media.infra-m.ru/1914/1914070/cover/1914070.jpg", "Обложка")</f>
        <v>Обложка</v>
      </c>
      <c r="V947" s="24" t="str">
        <f>HYPERLINK("https://znanium.ru/catalog/product/1914070", "Ознакомиться")</f>
        <v>Ознакомиться</v>
      </c>
      <c r="W947" s="8" t="s">
        <v>466</v>
      </c>
      <c r="X947" s="6"/>
      <c r="Y947" s="6"/>
      <c r="Z947" s="6" t="s">
        <v>48</v>
      </c>
      <c r="AA947" s="6" t="s">
        <v>740</v>
      </c>
      <c r="AB947" s="8"/>
    </row>
    <row r="948" spans="1:28" s="4" customFormat="1" ht="51.95" customHeight="1">
      <c r="A948" s="5">
        <v>0</v>
      </c>
      <c r="B948" s="6" t="s">
        <v>6157</v>
      </c>
      <c r="C948" s="7">
        <v>1030</v>
      </c>
      <c r="D948" s="8" t="s">
        <v>6158</v>
      </c>
      <c r="E948" s="8" t="s">
        <v>6159</v>
      </c>
      <c r="F948" s="8" t="s">
        <v>6160</v>
      </c>
      <c r="G948" s="6" t="s">
        <v>90</v>
      </c>
      <c r="H948" s="6" t="s">
        <v>54</v>
      </c>
      <c r="I948" s="8" t="s">
        <v>40</v>
      </c>
      <c r="J948" s="9">
        <v>1</v>
      </c>
      <c r="K948" s="9">
        <v>178</v>
      </c>
      <c r="L948" s="9">
        <v>2026</v>
      </c>
      <c r="M948" s="8" t="s">
        <v>6161</v>
      </c>
      <c r="N948" s="8" t="s">
        <v>1306</v>
      </c>
      <c r="O948" s="8" t="s">
        <v>1307</v>
      </c>
      <c r="P948" s="6" t="s">
        <v>58</v>
      </c>
      <c r="Q948" s="8" t="s">
        <v>45</v>
      </c>
      <c r="R948" s="10" t="s">
        <v>6162</v>
      </c>
      <c r="S948" s="11" t="s">
        <v>6163</v>
      </c>
      <c r="T948" s="6"/>
      <c r="U948" s="24" t="str">
        <f>HYPERLINK("https://media.infra-m.ru/2215/2215378/cover/2215378.jpg", "Обложка")</f>
        <v>Обложка</v>
      </c>
      <c r="V948" s="24" t="str">
        <f>HYPERLINK("https://znanium.ru/catalog/product/2215378", "Ознакомиться")</f>
        <v>Ознакомиться</v>
      </c>
      <c r="W948" s="8" t="s">
        <v>2092</v>
      </c>
      <c r="X948" s="6"/>
      <c r="Y948" s="6"/>
      <c r="Z948" s="6" t="s">
        <v>207</v>
      </c>
      <c r="AA948" s="6" t="s">
        <v>740</v>
      </c>
      <c r="AB948" s="8"/>
    </row>
    <row r="949" spans="1:28" s="4" customFormat="1" ht="42" customHeight="1">
      <c r="A949" s="5">
        <v>0</v>
      </c>
      <c r="B949" s="6" t="s">
        <v>6164</v>
      </c>
      <c r="C949" s="7">
        <v>1057</v>
      </c>
      <c r="D949" s="8" t="s">
        <v>6165</v>
      </c>
      <c r="E949" s="8" t="s">
        <v>6166</v>
      </c>
      <c r="F949" s="8" t="s">
        <v>6167</v>
      </c>
      <c r="G949" s="6" t="s">
        <v>67</v>
      </c>
      <c r="H949" s="6" t="s">
        <v>54</v>
      </c>
      <c r="I949" s="8" t="s">
        <v>40</v>
      </c>
      <c r="J949" s="9">
        <v>1</v>
      </c>
      <c r="K949" s="9">
        <v>112</v>
      </c>
      <c r="L949" s="9">
        <v>2024</v>
      </c>
      <c r="M949" s="8" t="s">
        <v>6168</v>
      </c>
      <c r="N949" s="8" t="s">
        <v>42</v>
      </c>
      <c r="O949" s="8" t="s">
        <v>1370</v>
      </c>
      <c r="P949" s="6" t="s">
        <v>44</v>
      </c>
      <c r="Q949" s="8" t="s">
        <v>45</v>
      </c>
      <c r="R949" s="10" t="s">
        <v>6169</v>
      </c>
      <c r="S949" s="11"/>
      <c r="T949" s="6"/>
      <c r="U949" s="24" t="str">
        <f>HYPERLINK("https://media.infra-m.ru/2129/2129205/cover/2129205.jpg", "Обложка")</f>
        <v>Обложка</v>
      </c>
      <c r="V949" s="24" t="str">
        <f>HYPERLINK("https://znanium.ru/catalog/product/1081171", "Ознакомиться")</f>
        <v>Ознакомиться</v>
      </c>
      <c r="W949" s="8" t="s">
        <v>6170</v>
      </c>
      <c r="X949" s="6"/>
      <c r="Y949" s="6" t="s">
        <v>30</v>
      </c>
      <c r="Z949" s="6"/>
      <c r="AA949" s="6" t="s">
        <v>696</v>
      </c>
      <c r="AB949" s="8"/>
    </row>
    <row r="950" spans="1:28" s="4" customFormat="1" ht="51.95" customHeight="1">
      <c r="A950" s="5">
        <v>0</v>
      </c>
      <c r="B950" s="6" t="s">
        <v>6171</v>
      </c>
      <c r="C950" s="7">
        <v>1630</v>
      </c>
      <c r="D950" s="8" t="s">
        <v>6172</v>
      </c>
      <c r="E950" s="8" t="s">
        <v>6173</v>
      </c>
      <c r="F950" s="8" t="s">
        <v>6174</v>
      </c>
      <c r="G950" s="6" t="s">
        <v>90</v>
      </c>
      <c r="H950" s="6" t="s">
        <v>54</v>
      </c>
      <c r="I950" s="8" t="s">
        <v>40</v>
      </c>
      <c r="J950" s="9">
        <v>1</v>
      </c>
      <c r="K950" s="9">
        <v>325</v>
      </c>
      <c r="L950" s="9">
        <v>2025</v>
      </c>
      <c r="M950" s="8" t="s">
        <v>6175</v>
      </c>
      <c r="N950" s="8" t="s">
        <v>42</v>
      </c>
      <c r="O950" s="8" t="s">
        <v>219</v>
      </c>
      <c r="P950" s="6" t="s">
        <v>58</v>
      </c>
      <c r="Q950" s="8" t="s">
        <v>45</v>
      </c>
      <c r="R950" s="10" t="s">
        <v>6176</v>
      </c>
      <c r="S950" s="11"/>
      <c r="T950" s="6"/>
      <c r="U950" s="24" t="str">
        <f>HYPERLINK("https://media.infra-m.ru/2172/2172141/cover/2172141.jpg", "Обложка")</f>
        <v>Обложка</v>
      </c>
      <c r="V950" s="24" t="str">
        <f>HYPERLINK("https://znanium.ru/catalog/product/2172141", "Ознакомиться")</f>
        <v>Ознакомиться</v>
      </c>
      <c r="W950" s="8" t="s">
        <v>6177</v>
      </c>
      <c r="X950" s="6" t="s">
        <v>367</v>
      </c>
      <c r="Y950" s="6"/>
      <c r="Z950" s="6" t="s">
        <v>929</v>
      </c>
      <c r="AA950" s="6" t="s">
        <v>84</v>
      </c>
      <c r="AB950" s="8"/>
    </row>
    <row r="951" spans="1:28" s="4" customFormat="1" ht="42" customHeight="1">
      <c r="A951" s="5">
        <v>0</v>
      </c>
      <c r="B951" s="6" t="s">
        <v>6178</v>
      </c>
      <c r="C951" s="7">
        <v>1790</v>
      </c>
      <c r="D951" s="8" t="s">
        <v>6179</v>
      </c>
      <c r="E951" s="8" t="s">
        <v>6180</v>
      </c>
      <c r="F951" s="8" t="s">
        <v>6181</v>
      </c>
      <c r="G951" s="6" t="s">
        <v>90</v>
      </c>
      <c r="H951" s="6" t="s">
        <v>39</v>
      </c>
      <c r="I951" s="8" t="s">
        <v>40</v>
      </c>
      <c r="J951" s="9">
        <v>1</v>
      </c>
      <c r="K951" s="9">
        <v>352</v>
      </c>
      <c r="L951" s="9">
        <v>2025</v>
      </c>
      <c r="M951" s="8" t="s">
        <v>6182</v>
      </c>
      <c r="N951" s="8" t="s">
        <v>42</v>
      </c>
      <c r="O951" s="8" t="s">
        <v>219</v>
      </c>
      <c r="P951" s="6" t="s">
        <v>44</v>
      </c>
      <c r="Q951" s="8" t="s">
        <v>45</v>
      </c>
      <c r="R951" s="10" t="s">
        <v>6183</v>
      </c>
      <c r="S951" s="11"/>
      <c r="T951" s="6"/>
      <c r="U951" s="24" t="str">
        <f>HYPERLINK("https://media.infra-m.ru/2170/2170456/cover/2170456.jpg", "Обложка")</f>
        <v>Обложка</v>
      </c>
      <c r="V951" s="24" t="str">
        <f>HYPERLINK("https://znanium.ru/catalog/product/2170456", "Ознакомиться")</f>
        <v>Ознакомиться</v>
      </c>
      <c r="W951" s="8" t="s">
        <v>3749</v>
      </c>
      <c r="X951" s="6" t="s">
        <v>367</v>
      </c>
      <c r="Y951" s="6" t="s">
        <v>30</v>
      </c>
      <c r="Z951" s="6" t="s">
        <v>48</v>
      </c>
      <c r="AA951" s="6" t="s">
        <v>84</v>
      </c>
      <c r="AB951" s="8"/>
    </row>
    <row r="952" spans="1:28" s="4" customFormat="1" ht="51.95" customHeight="1">
      <c r="A952" s="5">
        <v>0</v>
      </c>
      <c r="B952" s="6" t="s">
        <v>6184</v>
      </c>
      <c r="C952" s="7">
        <v>1504</v>
      </c>
      <c r="D952" s="8" t="s">
        <v>6185</v>
      </c>
      <c r="E952" s="8" t="s">
        <v>6186</v>
      </c>
      <c r="F952" s="8" t="s">
        <v>3275</v>
      </c>
      <c r="G952" s="6" t="s">
        <v>38</v>
      </c>
      <c r="H952" s="6" t="s">
        <v>54</v>
      </c>
      <c r="I952" s="8" t="s">
        <v>40</v>
      </c>
      <c r="J952" s="9">
        <v>1</v>
      </c>
      <c r="K952" s="9">
        <v>300</v>
      </c>
      <c r="L952" s="9">
        <v>2025</v>
      </c>
      <c r="M952" s="8" t="s">
        <v>6187</v>
      </c>
      <c r="N952" s="8" t="s">
        <v>1306</v>
      </c>
      <c r="O952" s="8" t="s">
        <v>1307</v>
      </c>
      <c r="P952" s="6" t="s">
        <v>44</v>
      </c>
      <c r="Q952" s="8" t="s">
        <v>45</v>
      </c>
      <c r="R952" s="10" t="s">
        <v>2071</v>
      </c>
      <c r="S952" s="11" t="s">
        <v>4967</v>
      </c>
      <c r="T952" s="6"/>
      <c r="U952" s="24" t="str">
        <f>HYPERLINK("https://media.infra-m.ru/2170/2170082/cover/2170082.jpg", "Обложка")</f>
        <v>Обложка</v>
      </c>
      <c r="V952" s="24" t="str">
        <f>HYPERLINK("https://znanium.ru/catalog/product/2169223", "Ознакомиться")</f>
        <v>Ознакомиться</v>
      </c>
      <c r="W952" s="8" t="s">
        <v>3279</v>
      </c>
      <c r="X952" s="6"/>
      <c r="Y952" s="6"/>
      <c r="Z952" s="6" t="s">
        <v>48</v>
      </c>
      <c r="AA952" s="6" t="s">
        <v>443</v>
      </c>
      <c r="AB952" s="8"/>
    </row>
    <row r="953" spans="1:28" s="4" customFormat="1" ht="51.95" customHeight="1">
      <c r="A953" s="5">
        <v>0</v>
      </c>
      <c r="B953" s="6" t="s">
        <v>6188</v>
      </c>
      <c r="C953" s="7">
        <v>1024</v>
      </c>
      <c r="D953" s="8" t="s">
        <v>6189</v>
      </c>
      <c r="E953" s="8" t="s">
        <v>6190</v>
      </c>
      <c r="F953" s="8" t="s">
        <v>6191</v>
      </c>
      <c r="G953" s="6" t="s">
        <v>90</v>
      </c>
      <c r="H953" s="6" t="s">
        <v>54</v>
      </c>
      <c r="I953" s="8" t="s">
        <v>40</v>
      </c>
      <c r="J953" s="9">
        <v>1</v>
      </c>
      <c r="K953" s="9">
        <v>197</v>
      </c>
      <c r="L953" s="9">
        <v>2026</v>
      </c>
      <c r="M953" s="8" t="s">
        <v>6192</v>
      </c>
      <c r="N953" s="8" t="s">
        <v>1306</v>
      </c>
      <c r="O953" s="8" t="s">
        <v>1307</v>
      </c>
      <c r="P953" s="6" t="s">
        <v>44</v>
      </c>
      <c r="Q953" s="8" t="s">
        <v>45</v>
      </c>
      <c r="R953" s="10" t="s">
        <v>3592</v>
      </c>
      <c r="S953" s="11" t="s">
        <v>6193</v>
      </c>
      <c r="T953" s="6"/>
      <c r="U953" s="24" t="str">
        <f>HYPERLINK("https://media.infra-m.ru/2222/2222989/cover/2222989.jpg", "Обложка")</f>
        <v>Обложка</v>
      </c>
      <c r="V953" s="24" t="str">
        <f>HYPERLINK("https://znanium.ru/catalog/product/2222989", "Ознакомиться")</f>
        <v>Ознакомиться</v>
      </c>
      <c r="W953" s="8" t="s">
        <v>6194</v>
      </c>
      <c r="X953" s="6"/>
      <c r="Y953" s="6"/>
      <c r="Z953" s="6"/>
      <c r="AA953" s="6" t="s">
        <v>999</v>
      </c>
      <c r="AB953" s="8"/>
    </row>
    <row r="954" spans="1:28" s="4" customFormat="1" ht="51.95" customHeight="1">
      <c r="A954" s="5">
        <v>0</v>
      </c>
      <c r="B954" s="6" t="s">
        <v>6195</v>
      </c>
      <c r="C954" s="7">
        <v>1244</v>
      </c>
      <c r="D954" s="8" t="s">
        <v>6196</v>
      </c>
      <c r="E954" s="8" t="s">
        <v>6197</v>
      </c>
      <c r="F954" s="8" t="s">
        <v>6198</v>
      </c>
      <c r="G954" s="6" t="s">
        <v>90</v>
      </c>
      <c r="H954" s="6" t="s">
        <v>54</v>
      </c>
      <c r="I954" s="8" t="s">
        <v>40</v>
      </c>
      <c r="J954" s="9">
        <v>1</v>
      </c>
      <c r="K954" s="9">
        <v>248</v>
      </c>
      <c r="L954" s="9">
        <v>2024</v>
      </c>
      <c r="M954" s="8" t="s">
        <v>6199</v>
      </c>
      <c r="N954" s="8" t="s">
        <v>1306</v>
      </c>
      <c r="O954" s="8" t="s">
        <v>1307</v>
      </c>
      <c r="P954" s="6" t="s">
        <v>1285</v>
      </c>
      <c r="Q954" s="8" t="s">
        <v>45</v>
      </c>
      <c r="R954" s="10" t="s">
        <v>5840</v>
      </c>
      <c r="S954" s="11" t="s">
        <v>6200</v>
      </c>
      <c r="T954" s="6"/>
      <c r="U954" s="24" t="str">
        <f>HYPERLINK("https://media.infra-m.ru/2192/2192098/cover/2192098.jpg", "Обложка")</f>
        <v>Обложка</v>
      </c>
      <c r="V954" s="24" t="str">
        <f>HYPERLINK("https://znanium.ru/catalog/product/2192058", "Ознакомиться")</f>
        <v>Ознакомиться</v>
      </c>
      <c r="W954" s="8" t="s">
        <v>1950</v>
      </c>
      <c r="X954" s="6"/>
      <c r="Y954" s="6"/>
      <c r="Z954" s="6" t="s">
        <v>48</v>
      </c>
      <c r="AA954" s="6" t="s">
        <v>223</v>
      </c>
      <c r="AB954" s="8"/>
    </row>
    <row r="955" spans="1:28" s="4" customFormat="1" ht="51.95" customHeight="1">
      <c r="A955" s="5">
        <v>0</v>
      </c>
      <c r="B955" s="6" t="s">
        <v>6201</v>
      </c>
      <c r="C955" s="13">
        <v>850</v>
      </c>
      <c r="D955" s="8" t="s">
        <v>6202</v>
      </c>
      <c r="E955" s="8" t="s">
        <v>6203</v>
      </c>
      <c r="F955" s="8" t="s">
        <v>6204</v>
      </c>
      <c r="G955" s="6" t="s">
        <v>90</v>
      </c>
      <c r="H955" s="6" t="s">
        <v>54</v>
      </c>
      <c r="I955" s="8" t="s">
        <v>40</v>
      </c>
      <c r="J955" s="9">
        <v>1</v>
      </c>
      <c r="K955" s="9">
        <v>158</v>
      </c>
      <c r="L955" s="9">
        <v>2025</v>
      </c>
      <c r="M955" s="8" t="s">
        <v>6205</v>
      </c>
      <c r="N955" s="8" t="s">
        <v>1306</v>
      </c>
      <c r="O955" s="8" t="s">
        <v>1307</v>
      </c>
      <c r="P955" s="6" t="s">
        <v>1285</v>
      </c>
      <c r="Q955" s="8" t="s">
        <v>45</v>
      </c>
      <c r="R955" s="10" t="s">
        <v>4183</v>
      </c>
      <c r="S955" s="11" t="s">
        <v>6206</v>
      </c>
      <c r="T955" s="6"/>
      <c r="U955" s="24" t="str">
        <f>HYPERLINK("https://media.infra-m.ru/2166/2166626/cover/2166626.jpg", "Обложка")</f>
        <v>Обложка</v>
      </c>
      <c r="V955" s="24" t="str">
        <f>HYPERLINK("https://znanium.ru/catalog/product/2166626", "Ознакомиться")</f>
        <v>Ознакомиться</v>
      </c>
      <c r="W955" s="8" t="s">
        <v>1950</v>
      </c>
      <c r="X955" s="6"/>
      <c r="Y955" s="6"/>
      <c r="Z955" s="6" t="s">
        <v>48</v>
      </c>
      <c r="AA955" s="6" t="s">
        <v>223</v>
      </c>
      <c r="AB955" s="8"/>
    </row>
    <row r="956" spans="1:28" s="4" customFormat="1" ht="51.95" customHeight="1">
      <c r="A956" s="5">
        <v>0</v>
      </c>
      <c r="B956" s="6" t="s">
        <v>6207</v>
      </c>
      <c r="C956" s="7">
        <v>1220</v>
      </c>
      <c r="D956" s="8" t="s">
        <v>6208</v>
      </c>
      <c r="E956" s="8" t="s">
        <v>6209</v>
      </c>
      <c r="F956" s="8" t="s">
        <v>6210</v>
      </c>
      <c r="G956" s="6" t="s">
        <v>90</v>
      </c>
      <c r="H956" s="6" t="s">
        <v>54</v>
      </c>
      <c r="I956" s="8" t="s">
        <v>40</v>
      </c>
      <c r="J956" s="9">
        <v>1</v>
      </c>
      <c r="K956" s="9">
        <v>224</v>
      </c>
      <c r="L956" s="9">
        <v>2026</v>
      </c>
      <c r="M956" s="8" t="s">
        <v>6211</v>
      </c>
      <c r="N956" s="8" t="s">
        <v>42</v>
      </c>
      <c r="O956" s="8" t="s">
        <v>43</v>
      </c>
      <c r="P956" s="6" t="s">
        <v>58</v>
      </c>
      <c r="Q956" s="8" t="s">
        <v>45</v>
      </c>
      <c r="R956" s="10" t="s">
        <v>6212</v>
      </c>
      <c r="S956" s="11" t="s">
        <v>6213</v>
      </c>
      <c r="T956" s="6"/>
      <c r="U956" s="24" t="str">
        <f>HYPERLINK("https://media.infra-m.ru/2217/2217540/cover/2217540.jpg", "Обложка")</f>
        <v>Обложка</v>
      </c>
      <c r="V956" s="24" t="str">
        <f>HYPERLINK("https://znanium.ru/catalog/product/2217540", "Ознакомиться")</f>
        <v>Ознакомиться</v>
      </c>
      <c r="W956" s="8" t="s">
        <v>2674</v>
      </c>
      <c r="X956" s="6"/>
      <c r="Y956" s="6"/>
      <c r="Z956" s="6"/>
      <c r="AA956" s="6" t="s">
        <v>1798</v>
      </c>
      <c r="AB956" s="8"/>
    </row>
    <row r="957" spans="1:28" s="4" customFormat="1" ht="51.95" customHeight="1">
      <c r="A957" s="5">
        <v>0</v>
      </c>
      <c r="B957" s="6" t="s">
        <v>6214</v>
      </c>
      <c r="C957" s="7">
        <v>1080</v>
      </c>
      <c r="D957" s="8" t="s">
        <v>6215</v>
      </c>
      <c r="E957" s="8" t="s">
        <v>6216</v>
      </c>
      <c r="F957" s="8" t="s">
        <v>6217</v>
      </c>
      <c r="G957" s="6" t="s">
        <v>90</v>
      </c>
      <c r="H957" s="6" t="s">
        <v>54</v>
      </c>
      <c r="I957" s="8" t="s">
        <v>40</v>
      </c>
      <c r="J957" s="9">
        <v>1</v>
      </c>
      <c r="K957" s="9">
        <v>215</v>
      </c>
      <c r="L957" s="9">
        <v>2025</v>
      </c>
      <c r="M957" s="8" t="s">
        <v>6218</v>
      </c>
      <c r="N957" s="8" t="s">
        <v>125</v>
      </c>
      <c r="O957" s="8" t="s">
        <v>126</v>
      </c>
      <c r="P957" s="6" t="s">
        <v>44</v>
      </c>
      <c r="Q957" s="8" t="s">
        <v>45</v>
      </c>
      <c r="R957" s="10" t="s">
        <v>6219</v>
      </c>
      <c r="S957" s="11"/>
      <c r="T957" s="6" t="s">
        <v>118</v>
      </c>
      <c r="U957" s="24" t="str">
        <f>HYPERLINK("https://media.infra-m.ru/2174/2174886/cover/2174886.jpg", "Обложка")</f>
        <v>Обложка</v>
      </c>
      <c r="V957" s="24" t="str">
        <f>HYPERLINK("https://znanium.ru/catalog/product/2174886", "Ознакомиться")</f>
        <v>Ознакомиться</v>
      </c>
      <c r="W957" s="8"/>
      <c r="X957" s="6" t="s">
        <v>367</v>
      </c>
      <c r="Y957" s="6"/>
      <c r="Z957" s="6" t="s">
        <v>48</v>
      </c>
      <c r="AA957" s="6" t="s">
        <v>231</v>
      </c>
      <c r="AB957" s="8"/>
    </row>
    <row r="958" spans="1:28" s="4" customFormat="1" ht="51.95" customHeight="1">
      <c r="A958" s="5">
        <v>0</v>
      </c>
      <c r="B958" s="6" t="s">
        <v>6220</v>
      </c>
      <c r="C958" s="7">
        <v>1530</v>
      </c>
      <c r="D958" s="8" t="s">
        <v>6221</v>
      </c>
      <c r="E958" s="8" t="s">
        <v>6222</v>
      </c>
      <c r="F958" s="8" t="s">
        <v>1706</v>
      </c>
      <c r="G958" s="6" t="s">
        <v>90</v>
      </c>
      <c r="H958" s="6" t="s">
        <v>54</v>
      </c>
      <c r="I958" s="8" t="s">
        <v>40</v>
      </c>
      <c r="J958" s="9">
        <v>1</v>
      </c>
      <c r="K958" s="9">
        <v>305</v>
      </c>
      <c r="L958" s="9">
        <v>2024</v>
      </c>
      <c r="M958" s="8" t="s">
        <v>6223</v>
      </c>
      <c r="N958" s="8" t="s">
        <v>42</v>
      </c>
      <c r="O958" s="8" t="s">
        <v>43</v>
      </c>
      <c r="P958" s="6" t="s">
        <v>44</v>
      </c>
      <c r="Q958" s="8" t="s">
        <v>45</v>
      </c>
      <c r="R958" s="10" t="s">
        <v>1266</v>
      </c>
      <c r="S958" s="11" t="s">
        <v>6224</v>
      </c>
      <c r="T958" s="6" t="s">
        <v>118</v>
      </c>
      <c r="U958" s="24" t="str">
        <f>HYPERLINK("https://media.infra-m.ru/2136/2136717/cover/2136717.jpg", "Обложка")</f>
        <v>Обложка</v>
      </c>
      <c r="V958" s="24" t="str">
        <f>HYPERLINK("https://znanium.ru/catalog/product/2136717", "Ознакомиться")</f>
        <v>Ознакомиться</v>
      </c>
      <c r="W958" s="8" t="s">
        <v>82</v>
      </c>
      <c r="X958" s="6"/>
      <c r="Y958" s="6"/>
      <c r="Z958" s="6" t="s">
        <v>48</v>
      </c>
      <c r="AA958" s="6" t="s">
        <v>223</v>
      </c>
      <c r="AB958" s="8"/>
    </row>
    <row r="959" spans="1:28" s="4" customFormat="1" ht="51.95" customHeight="1">
      <c r="A959" s="5">
        <v>0</v>
      </c>
      <c r="B959" s="6" t="s">
        <v>6225</v>
      </c>
      <c r="C959" s="7">
        <v>1780</v>
      </c>
      <c r="D959" s="8" t="s">
        <v>6226</v>
      </c>
      <c r="E959" s="8" t="s">
        <v>6227</v>
      </c>
      <c r="F959" s="8" t="s">
        <v>5027</v>
      </c>
      <c r="G959" s="6" t="s">
        <v>38</v>
      </c>
      <c r="H959" s="6" t="s">
        <v>54</v>
      </c>
      <c r="I959" s="8" t="s">
        <v>40</v>
      </c>
      <c r="J959" s="9">
        <v>1</v>
      </c>
      <c r="K959" s="9">
        <v>358</v>
      </c>
      <c r="L959" s="9">
        <v>2025</v>
      </c>
      <c r="M959" s="8" t="s">
        <v>6228</v>
      </c>
      <c r="N959" s="8" t="s">
        <v>42</v>
      </c>
      <c r="O959" s="8" t="s">
        <v>43</v>
      </c>
      <c r="P959" s="6" t="s">
        <v>44</v>
      </c>
      <c r="Q959" s="8" t="s">
        <v>45</v>
      </c>
      <c r="R959" s="10" t="s">
        <v>6229</v>
      </c>
      <c r="S959" s="11"/>
      <c r="T959" s="6"/>
      <c r="U959" s="24" t="str">
        <f>HYPERLINK("https://media.infra-m.ru/1985/1985727/cover/1985727.jpg", "Обложка")</f>
        <v>Обложка</v>
      </c>
      <c r="V959" s="24" t="str">
        <f>HYPERLINK("https://znanium.ru/catalog/product/1985727", "Ознакомиться")</f>
        <v>Ознакомиться</v>
      </c>
      <c r="W959" s="8" t="s">
        <v>834</v>
      </c>
      <c r="X959" s="6"/>
      <c r="Y959" s="6"/>
      <c r="Z959" s="6"/>
      <c r="AA959" s="6" t="s">
        <v>231</v>
      </c>
      <c r="AB959" s="8"/>
    </row>
    <row r="960" spans="1:28" s="4" customFormat="1" ht="51.95" customHeight="1">
      <c r="A960" s="5">
        <v>0</v>
      </c>
      <c r="B960" s="6" t="s">
        <v>6230</v>
      </c>
      <c r="C960" s="7">
        <v>1390</v>
      </c>
      <c r="D960" s="8" t="s">
        <v>6231</v>
      </c>
      <c r="E960" s="8" t="s">
        <v>6232</v>
      </c>
      <c r="F960" s="8" t="s">
        <v>6233</v>
      </c>
      <c r="G960" s="6" t="s">
        <v>90</v>
      </c>
      <c r="H960" s="6" t="s">
        <v>299</v>
      </c>
      <c r="I960" s="8" t="s">
        <v>40</v>
      </c>
      <c r="J960" s="9">
        <v>1</v>
      </c>
      <c r="K960" s="9">
        <v>384</v>
      </c>
      <c r="L960" s="9">
        <v>2021</v>
      </c>
      <c r="M960" s="8" t="s">
        <v>6234</v>
      </c>
      <c r="N960" s="8" t="s">
        <v>42</v>
      </c>
      <c r="O960" s="8" t="s">
        <v>43</v>
      </c>
      <c r="P960" s="6" t="s">
        <v>44</v>
      </c>
      <c r="Q960" s="8" t="s">
        <v>45</v>
      </c>
      <c r="R960" s="10" t="s">
        <v>6229</v>
      </c>
      <c r="S960" s="11" t="s">
        <v>6235</v>
      </c>
      <c r="T960" s="6"/>
      <c r="U960" s="24" t="str">
        <f>HYPERLINK("https://media.infra-m.ru/1214/1214882/cover/1214882.jpg", "Обложка")</f>
        <v>Обложка</v>
      </c>
      <c r="V960" s="24" t="str">
        <f>HYPERLINK("https://znanium.ru/catalog/product/1985727", "Ознакомиться")</f>
        <v>Ознакомиться</v>
      </c>
      <c r="W960" s="8" t="s">
        <v>834</v>
      </c>
      <c r="X960" s="6"/>
      <c r="Y960" s="6"/>
      <c r="Z960" s="6"/>
      <c r="AA960" s="6" t="s">
        <v>988</v>
      </c>
      <c r="AB960" s="8"/>
    </row>
    <row r="961" spans="1:28" s="4" customFormat="1" ht="51.95" customHeight="1">
      <c r="A961" s="5">
        <v>0</v>
      </c>
      <c r="B961" s="6" t="s">
        <v>6236</v>
      </c>
      <c r="C961" s="13">
        <v>790</v>
      </c>
      <c r="D961" s="8" t="s">
        <v>6237</v>
      </c>
      <c r="E961" s="8" t="s">
        <v>6238</v>
      </c>
      <c r="F961" s="8" t="s">
        <v>2245</v>
      </c>
      <c r="G961" s="6" t="s">
        <v>38</v>
      </c>
      <c r="H961" s="6" t="s">
        <v>54</v>
      </c>
      <c r="I961" s="8" t="s">
        <v>40</v>
      </c>
      <c r="J961" s="9">
        <v>1</v>
      </c>
      <c r="K961" s="9">
        <v>178</v>
      </c>
      <c r="L961" s="9">
        <v>2022</v>
      </c>
      <c r="M961" s="8" t="s">
        <v>6239</v>
      </c>
      <c r="N961" s="8" t="s">
        <v>42</v>
      </c>
      <c r="O961" s="8" t="s">
        <v>43</v>
      </c>
      <c r="P961" s="6" t="s">
        <v>44</v>
      </c>
      <c r="Q961" s="8" t="s">
        <v>45</v>
      </c>
      <c r="R961" s="10" t="s">
        <v>2315</v>
      </c>
      <c r="S961" s="11" t="s">
        <v>6240</v>
      </c>
      <c r="T961" s="6"/>
      <c r="U961" s="24" t="str">
        <f>HYPERLINK("https://media.infra-m.ru/1853/1853495/cover/1853495.jpg", "Обложка")</f>
        <v>Обложка</v>
      </c>
      <c r="V961" s="24" t="str">
        <f>HYPERLINK("https://znanium.ru/catalog/product/1853495", "Ознакомиться")</f>
        <v>Ознакомиться</v>
      </c>
      <c r="W961" s="8"/>
      <c r="X961" s="6"/>
      <c r="Y961" s="6"/>
      <c r="Z961" s="6"/>
      <c r="AA961" s="6" t="s">
        <v>500</v>
      </c>
      <c r="AB961" s="8"/>
    </row>
    <row r="962" spans="1:28" s="4" customFormat="1" ht="42" customHeight="1">
      <c r="A962" s="5">
        <v>0</v>
      </c>
      <c r="B962" s="6" t="s">
        <v>6241</v>
      </c>
      <c r="C962" s="13">
        <v>710</v>
      </c>
      <c r="D962" s="8" t="s">
        <v>6242</v>
      </c>
      <c r="E962" s="8" t="s">
        <v>6243</v>
      </c>
      <c r="F962" s="8" t="s">
        <v>6244</v>
      </c>
      <c r="G962" s="6" t="s">
        <v>67</v>
      </c>
      <c r="H962" s="6" t="s">
        <v>54</v>
      </c>
      <c r="I962" s="8" t="s">
        <v>40</v>
      </c>
      <c r="J962" s="9">
        <v>1</v>
      </c>
      <c r="K962" s="9">
        <v>136</v>
      </c>
      <c r="L962" s="9">
        <v>2025</v>
      </c>
      <c r="M962" s="8" t="s">
        <v>6245</v>
      </c>
      <c r="N962" s="8" t="s">
        <v>42</v>
      </c>
      <c r="O962" s="8" t="s">
        <v>169</v>
      </c>
      <c r="P962" s="6" t="s">
        <v>44</v>
      </c>
      <c r="Q962" s="8" t="s">
        <v>45</v>
      </c>
      <c r="R962" s="10" t="s">
        <v>6246</v>
      </c>
      <c r="S962" s="11"/>
      <c r="T962" s="6"/>
      <c r="U962" s="24" t="str">
        <f>HYPERLINK("https://media.infra-m.ru/2174/2174988/cover/2174988.jpg", "Обложка")</f>
        <v>Обложка</v>
      </c>
      <c r="V962" s="24" t="str">
        <f>HYPERLINK("https://znanium.ru/catalog/product/2174988", "Ознакомиться")</f>
        <v>Ознакомиться</v>
      </c>
      <c r="W962" s="8" t="s">
        <v>6247</v>
      </c>
      <c r="X962" s="6" t="s">
        <v>367</v>
      </c>
      <c r="Y962" s="6"/>
      <c r="Z962" s="6" t="s">
        <v>207</v>
      </c>
      <c r="AA962" s="6" t="s">
        <v>84</v>
      </c>
      <c r="AB962" s="8"/>
    </row>
    <row r="963" spans="1:28" s="4" customFormat="1" ht="51.95" customHeight="1">
      <c r="A963" s="5">
        <v>0</v>
      </c>
      <c r="B963" s="6" t="s">
        <v>6248</v>
      </c>
      <c r="C963" s="7">
        <v>1810</v>
      </c>
      <c r="D963" s="8" t="s">
        <v>6249</v>
      </c>
      <c r="E963" s="8" t="s">
        <v>6250</v>
      </c>
      <c r="F963" s="8" t="s">
        <v>6251</v>
      </c>
      <c r="G963" s="6" t="s">
        <v>90</v>
      </c>
      <c r="H963" s="6" t="s">
        <v>824</v>
      </c>
      <c r="I963" s="8" t="s">
        <v>40</v>
      </c>
      <c r="J963" s="9">
        <v>1</v>
      </c>
      <c r="K963" s="9">
        <v>336</v>
      </c>
      <c r="L963" s="9">
        <v>2026</v>
      </c>
      <c r="M963" s="8" t="s">
        <v>6252</v>
      </c>
      <c r="N963" s="8" t="s">
        <v>42</v>
      </c>
      <c r="O963" s="8" t="s">
        <v>43</v>
      </c>
      <c r="P963" s="6" t="s">
        <v>44</v>
      </c>
      <c r="Q963" s="8" t="s">
        <v>45</v>
      </c>
      <c r="R963" s="10" t="s">
        <v>6253</v>
      </c>
      <c r="S963" s="11" t="s">
        <v>6254</v>
      </c>
      <c r="T963" s="6"/>
      <c r="U963" s="24" t="str">
        <f>HYPERLINK("https://media.infra-m.ru/2213/2213137/cover/2213137.jpg", "Обложка")</f>
        <v>Обложка</v>
      </c>
      <c r="V963" s="24" t="str">
        <f>HYPERLINK("https://znanium.ru/catalog/product/2213137", "Ознакомиться")</f>
        <v>Ознакомиться</v>
      </c>
      <c r="W963" s="8" t="s">
        <v>6255</v>
      </c>
      <c r="X963" s="6"/>
      <c r="Y963" s="6" t="s">
        <v>30</v>
      </c>
      <c r="Z963" s="6"/>
      <c r="AA963" s="6" t="s">
        <v>573</v>
      </c>
      <c r="AB963" s="8"/>
    </row>
    <row r="964" spans="1:28" s="4" customFormat="1" ht="51.95" customHeight="1">
      <c r="A964" s="5">
        <v>0</v>
      </c>
      <c r="B964" s="6" t="s">
        <v>6256</v>
      </c>
      <c r="C964" s="7">
        <v>2222</v>
      </c>
      <c r="D964" s="8" t="s">
        <v>6257</v>
      </c>
      <c r="E964" s="8" t="s">
        <v>6258</v>
      </c>
      <c r="F964" s="8" t="s">
        <v>6259</v>
      </c>
      <c r="G964" s="6" t="s">
        <v>67</v>
      </c>
      <c r="H964" s="6" t="s">
        <v>54</v>
      </c>
      <c r="I964" s="8" t="s">
        <v>40</v>
      </c>
      <c r="J964" s="9">
        <v>1</v>
      </c>
      <c r="K964" s="9">
        <v>214</v>
      </c>
      <c r="L964" s="9">
        <v>2025</v>
      </c>
      <c r="M964" s="8" t="s">
        <v>6260</v>
      </c>
      <c r="N964" s="8" t="s">
        <v>42</v>
      </c>
      <c r="O964" s="8" t="s">
        <v>169</v>
      </c>
      <c r="P964" s="6" t="s">
        <v>44</v>
      </c>
      <c r="Q964" s="8" t="s">
        <v>45</v>
      </c>
      <c r="R964" s="10" t="s">
        <v>6261</v>
      </c>
      <c r="S964" s="11" t="s">
        <v>6262</v>
      </c>
      <c r="T964" s="6"/>
      <c r="U964" s="24" t="str">
        <f>HYPERLINK("https://media.infra-m.ru/2206/2206016/cover/2206016.jpg", "Обложка")</f>
        <v>Обложка</v>
      </c>
      <c r="V964" s="24" t="str">
        <f>HYPERLINK("https://znanium.ru/catalog/product/2206016", "Ознакомиться")</f>
        <v>Ознакомиться</v>
      </c>
      <c r="W964" s="8" t="s">
        <v>792</v>
      </c>
      <c r="X964" s="6"/>
      <c r="Y964" s="6"/>
      <c r="Z964" s="6"/>
      <c r="AA964" s="6" t="s">
        <v>387</v>
      </c>
      <c r="AB964" s="8"/>
    </row>
    <row r="965" spans="1:28" s="4" customFormat="1" ht="51.95" customHeight="1">
      <c r="A965" s="5">
        <v>0</v>
      </c>
      <c r="B965" s="6" t="s">
        <v>6263</v>
      </c>
      <c r="C965" s="7">
        <v>2292</v>
      </c>
      <c r="D965" s="8" t="s">
        <v>6264</v>
      </c>
      <c r="E965" s="8" t="s">
        <v>6265</v>
      </c>
      <c r="F965" s="8" t="s">
        <v>6259</v>
      </c>
      <c r="G965" s="6" t="s">
        <v>90</v>
      </c>
      <c r="H965" s="6" t="s">
        <v>39</v>
      </c>
      <c r="I965" s="8" t="s">
        <v>40</v>
      </c>
      <c r="J965" s="9">
        <v>1</v>
      </c>
      <c r="K965" s="9">
        <v>352</v>
      </c>
      <c r="L965" s="9">
        <v>2025</v>
      </c>
      <c r="M965" s="8" t="s">
        <v>6266</v>
      </c>
      <c r="N965" s="8" t="s">
        <v>42</v>
      </c>
      <c r="O965" s="8" t="s">
        <v>169</v>
      </c>
      <c r="P965" s="6" t="s">
        <v>44</v>
      </c>
      <c r="Q965" s="8" t="s">
        <v>45</v>
      </c>
      <c r="R965" s="10" t="s">
        <v>6267</v>
      </c>
      <c r="S965" s="11" t="s">
        <v>276</v>
      </c>
      <c r="T965" s="6"/>
      <c r="U965" s="24" t="str">
        <f>HYPERLINK("https://media.infra-m.ru/2192/2192466/cover/2192466.jpg", "Обложка")</f>
        <v>Обложка</v>
      </c>
      <c r="V965" s="24" t="str">
        <f>HYPERLINK("https://znanium.ru/catalog/product/2192466", "Ознакомиться")</f>
        <v>Ознакомиться</v>
      </c>
      <c r="W965" s="8" t="s">
        <v>792</v>
      </c>
      <c r="X965" s="6"/>
      <c r="Y965" s="6"/>
      <c r="Z965" s="6"/>
      <c r="AA965" s="6" t="s">
        <v>2008</v>
      </c>
      <c r="AB965" s="8"/>
    </row>
    <row r="966" spans="1:28" s="4" customFormat="1" ht="51.95" customHeight="1">
      <c r="A966" s="5">
        <v>0</v>
      </c>
      <c r="B966" s="6" t="s">
        <v>6268</v>
      </c>
      <c r="C966" s="13">
        <v>550</v>
      </c>
      <c r="D966" s="8" t="s">
        <v>6269</v>
      </c>
      <c r="E966" s="8" t="s">
        <v>6270</v>
      </c>
      <c r="F966" s="8" t="s">
        <v>6271</v>
      </c>
      <c r="G966" s="6" t="s">
        <v>67</v>
      </c>
      <c r="H966" s="6" t="s">
        <v>39</v>
      </c>
      <c r="I966" s="8" t="s">
        <v>40</v>
      </c>
      <c r="J966" s="9">
        <v>1</v>
      </c>
      <c r="K966" s="9">
        <v>95</v>
      </c>
      <c r="L966" s="9">
        <v>2024</v>
      </c>
      <c r="M966" s="8" t="s">
        <v>6272</v>
      </c>
      <c r="N966" s="8" t="s">
        <v>42</v>
      </c>
      <c r="O966" s="8" t="s">
        <v>169</v>
      </c>
      <c r="P966" s="6" t="s">
        <v>44</v>
      </c>
      <c r="Q966" s="8" t="s">
        <v>45</v>
      </c>
      <c r="R966" s="10" t="s">
        <v>6273</v>
      </c>
      <c r="S966" s="11" t="s">
        <v>6274</v>
      </c>
      <c r="T966" s="6"/>
      <c r="U966" s="24" t="str">
        <f>HYPERLINK("https://media.infra-m.ru/2138/2138785/cover/2138785.jpg", "Обложка")</f>
        <v>Обложка</v>
      </c>
      <c r="V966" s="24" t="str">
        <f>HYPERLINK("https://znanium.ru/catalog/product/2138785", "Ознакомиться")</f>
        <v>Ознакомиться</v>
      </c>
      <c r="W966" s="8" t="s">
        <v>6275</v>
      </c>
      <c r="X966" s="6"/>
      <c r="Y966" s="6"/>
      <c r="Z966" s="6"/>
      <c r="AA966" s="6" t="s">
        <v>253</v>
      </c>
      <c r="AB966" s="8"/>
    </row>
    <row r="967" spans="1:28" s="4" customFormat="1" ht="51.95" customHeight="1">
      <c r="A967" s="5">
        <v>0</v>
      </c>
      <c r="B967" s="6" t="s">
        <v>6276</v>
      </c>
      <c r="C967" s="7">
        <v>1614</v>
      </c>
      <c r="D967" s="8" t="s">
        <v>6277</v>
      </c>
      <c r="E967" s="8" t="s">
        <v>6278</v>
      </c>
      <c r="F967" s="8" t="s">
        <v>6279</v>
      </c>
      <c r="G967" s="6" t="s">
        <v>90</v>
      </c>
      <c r="H967" s="6" t="s">
        <v>299</v>
      </c>
      <c r="I967" s="8" t="s">
        <v>40</v>
      </c>
      <c r="J967" s="9">
        <v>1</v>
      </c>
      <c r="K967" s="9">
        <v>272</v>
      </c>
      <c r="L967" s="9">
        <v>2026</v>
      </c>
      <c r="M967" s="8" t="s">
        <v>6280</v>
      </c>
      <c r="N967" s="8" t="s">
        <v>42</v>
      </c>
      <c r="O967" s="8" t="s">
        <v>169</v>
      </c>
      <c r="P967" s="6" t="s">
        <v>44</v>
      </c>
      <c r="Q967" s="8" t="s">
        <v>45</v>
      </c>
      <c r="R967" s="10" t="s">
        <v>6281</v>
      </c>
      <c r="S967" s="11" t="s">
        <v>6282</v>
      </c>
      <c r="T967" s="6"/>
      <c r="U967" s="24" t="str">
        <f>HYPERLINK("https://media.infra-m.ru/2216/2216271/cover/2216271.jpg", "Обложка")</f>
        <v>Обложка</v>
      </c>
      <c r="V967" s="24" t="str">
        <f>HYPERLINK("https://znanium.ru/catalog/product/1447410", "Ознакомиться")</f>
        <v>Ознакомиться</v>
      </c>
      <c r="W967" s="8" t="s">
        <v>1925</v>
      </c>
      <c r="X967" s="6"/>
      <c r="Y967" s="6"/>
      <c r="Z967" s="6"/>
      <c r="AA967" s="6" t="s">
        <v>3228</v>
      </c>
      <c r="AB967" s="8"/>
    </row>
    <row r="968" spans="1:28" s="4" customFormat="1" ht="51.95" customHeight="1">
      <c r="A968" s="5">
        <v>0</v>
      </c>
      <c r="B968" s="6" t="s">
        <v>6283</v>
      </c>
      <c r="C968" s="13">
        <v>734</v>
      </c>
      <c r="D968" s="8" t="s">
        <v>6284</v>
      </c>
      <c r="E968" s="8" t="s">
        <v>6285</v>
      </c>
      <c r="F968" s="8" t="s">
        <v>6286</v>
      </c>
      <c r="G968" s="6" t="s">
        <v>38</v>
      </c>
      <c r="H968" s="6" t="s">
        <v>299</v>
      </c>
      <c r="I968" s="8"/>
      <c r="J968" s="9">
        <v>1</v>
      </c>
      <c r="K968" s="9">
        <v>160</v>
      </c>
      <c r="L968" s="9">
        <v>2023</v>
      </c>
      <c r="M968" s="8" t="s">
        <v>6287</v>
      </c>
      <c r="N968" s="8" t="s">
        <v>42</v>
      </c>
      <c r="O968" s="8" t="s">
        <v>169</v>
      </c>
      <c r="P968" s="6" t="s">
        <v>44</v>
      </c>
      <c r="Q968" s="8" t="s">
        <v>45</v>
      </c>
      <c r="R968" s="10" t="s">
        <v>6288</v>
      </c>
      <c r="S968" s="11" t="s">
        <v>6289</v>
      </c>
      <c r="T968" s="6"/>
      <c r="U968" s="24" t="str">
        <f>HYPERLINK("https://media.infra-m.ru/2021/2021442/cover/2021442.jpg", "Обложка")</f>
        <v>Обложка</v>
      </c>
      <c r="V968" s="24" t="str">
        <f>HYPERLINK("https://znanium.ru/catalog/product/961662", "Ознакомиться")</f>
        <v>Ознакомиться</v>
      </c>
      <c r="W968" s="8" t="s">
        <v>180</v>
      </c>
      <c r="X968" s="6"/>
      <c r="Y968" s="6"/>
      <c r="Z968" s="6" t="s">
        <v>48</v>
      </c>
      <c r="AA968" s="6" t="s">
        <v>111</v>
      </c>
      <c r="AB968" s="8"/>
    </row>
    <row r="969" spans="1:28" s="4" customFormat="1" ht="51.95" customHeight="1">
      <c r="A969" s="5">
        <v>0</v>
      </c>
      <c r="B969" s="6" t="s">
        <v>6290</v>
      </c>
      <c r="C969" s="7">
        <v>1744.9</v>
      </c>
      <c r="D969" s="8" t="s">
        <v>6291</v>
      </c>
      <c r="E969" s="8" t="s">
        <v>6292</v>
      </c>
      <c r="F969" s="8" t="s">
        <v>6293</v>
      </c>
      <c r="G969" s="6" t="s">
        <v>90</v>
      </c>
      <c r="H969" s="6" t="s">
        <v>54</v>
      </c>
      <c r="I969" s="8" t="s">
        <v>40</v>
      </c>
      <c r="J969" s="9">
        <v>1</v>
      </c>
      <c r="K969" s="9">
        <v>415</v>
      </c>
      <c r="L969" s="9">
        <v>2022</v>
      </c>
      <c r="M969" s="8" t="s">
        <v>6294</v>
      </c>
      <c r="N969" s="8" t="s">
        <v>42</v>
      </c>
      <c r="O969" s="8" t="s">
        <v>169</v>
      </c>
      <c r="P969" s="6" t="s">
        <v>44</v>
      </c>
      <c r="Q969" s="8" t="s">
        <v>45</v>
      </c>
      <c r="R969" s="10" t="s">
        <v>6295</v>
      </c>
      <c r="S969" s="11" t="s">
        <v>6296</v>
      </c>
      <c r="T969" s="6"/>
      <c r="U969" s="24" t="str">
        <f>HYPERLINK("https://media.infra-m.ru/1876/1876292/cover/1876292.jpg", "Обложка")</f>
        <v>Обложка</v>
      </c>
      <c r="V969" s="24" t="str">
        <f>HYPERLINK("https://znanium.ru/catalog/product/1113506", "Ознакомиться")</f>
        <v>Ознакомиться</v>
      </c>
      <c r="W969" s="8" t="s">
        <v>6297</v>
      </c>
      <c r="X969" s="6"/>
      <c r="Y969" s="6"/>
      <c r="Z969" s="6" t="s">
        <v>48</v>
      </c>
      <c r="AA969" s="6" t="s">
        <v>111</v>
      </c>
      <c r="AB969" s="8"/>
    </row>
    <row r="970" spans="1:28" s="4" customFormat="1" ht="42" customHeight="1">
      <c r="A970" s="5">
        <v>0</v>
      </c>
      <c r="B970" s="6" t="s">
        <v>6298</v>
      </c>
      <c r="C970" s="7">
        <v>1450</v>
      </c>
      <c r="D970" s="8" t="s">
        <v>6299</v>
      </c>
      <c r="E970" s="8" t="s">
        <v>6300</v>
      </c>
      <c r="F970" s="8" t="s">
        <v>6301</v>
      </c>
      <c r="G970" s="6" t="s">
        <v>38</v>
      </c>
      <c r="H970" s="6" t="s">
        <v>54</v>
      </c>
      <c r="I970" s="8" t="s">
        <v>40</v>
      </c>
      <c r="J970" s="9">
        <v>1</v>
      </c>
      <c r="K970" s="9">
        <v>282</v>
      </c>
      <c r="L970" s="9">
        <v>2025</v>
      </c>
      <c r="M970" s="8" t="s">
        <v>6302</v>
      </c>
      <c r="N970" s="8" t="s">
        <v>125</v>
      </c>
      <c r="O970" s="8" t="s">
        <v>126</v>
      </c>
      <c r="P970" s="6" t="s">
        <v>58</v>
      </c>
      <c r="Q970" s="8" t="s">
        <v>45</v>
      </c>
      <c r="R970" s="10" t="s">
        <v>6303</v>
      </c>
      <c r="S970" s="11"/>
      <c r="T970" s="6" t="s">
        <v>118</v>
      </c>
      <c r="U970" s="24" t="str">
        <f>HYPERLINK("https://media.infra-m.ru/2169/2169303/cover/2169303.jpg", "Обложка")</f>
        <v>Обложка</v>
      </c>
      <c r="V970" s="24" t="str">
        <f>HYPERLINK("https://znanium.ru/catalog/product/2169303", "Ознакомиться")</f>
        <v>Ознакомиться</v>
      </c>
      <c r="W970" s="8" t="s">
        <v>6304</v>
      </c>
      <c r="X970" s="6" t="s">
        <v>367</v>
      </c>
      <c r="Y970" s="6"/>
      <c r="Z970" s="6" t="s">
        <v>48</v>
      </c>
      <c r="AA970" s="6" t="s">
        <v>84</v>
      </c>
      <c r="AB970" s="8"/>
    </row>
    <row r="971" spans="1:28" s="4" customFormat="1" ht="42" customHeight="1">
      <c r="A971" s="5">
        <v>0</v>
      </c>
      <c r="B971" s="6" t="s">
        <v>6305</v>
      </c>
      <c r="C971" s="7">
        <v>1690</v>
      </c>
      <c r="D971" s="8" t="s">
        <v>6306</v>
      </c>
      <c r="E971" s="8" t="s">
        <v>6307</v>
      </c>
      <c r="F971" s="8" t="s">
        <v>3181</v>
      </c>
      <c r="G971" s="6" t="s">
        <v>90</v>
      </c>
      <c r="H971" s="6" t="s">
        <v>54</v>
      </c>
      <c r="I971" s="8" t="s">
        <v>40</v>
      </c>
      <c r="J971" s="9">
        <v>1</v>
      </c>
      <c r="K971" s="9">
        <v>359</v>
      </c>
      <c r="L971" s="9">
        <v>2024</v>
      </c>
      <c r="M971" s="8" t="s">
        <v>6308</v>
      </c>
      <c r="N971" s="8" t="s">
        <v>125</v>
      </c>
      <c r="O971" s="8" t="s">
        <v>126</v>
      </c>
      <c r="P971" s="6" t="s">
        <v>44</v>
      </c>
      <c r="Q971" s="8" t="s">
        <v>45</v>
      </c>
      <c r="R971" s="10" t="s">
        <v>6309</v>
      </c>
      <c r="S971" s="11"/>
      <c r="T971" s="6"/>
      <c r="U971" s="24" t="str">
        <f>HYPERLINK("https://media.infra-m.ru/2137/2137498/cover/2137498.jpg", "Обложка")</f>
        <v>Обложка</v>
      </c>
      <c r="V971" s="24" t="str">
        <f>HYPERLINK("https://znanium.ru/catalog/product/2137498", "Ознакомиться")</f>
        <v>Ознакомиться</v>
      </c>
      <c r="W971" s="8" t="s">
        <v>94</v>
      </c>
      <c r="X971" s="6"/>
      <c r="Y971" s="6"/>
      <c r="Z971" s="6" t="s">
        <v>48</v>
      </c>
      <c r="AA971" s="6" t="s">
        <v>102</v>
      </c>
      <c r="AB971" s="8"/>
    </row>
    <row r="972" spans="1:28" s="4" customFormat="1" ht="51.95" customHeight="1">
      <c r="A972" s="5">
        <v>0</v>
      </c>
      <c r="B972" s="6" t="s">
        <v>6310</v>
      </c>
      <c r="C972" s="7">
        <v>1164</v>
      </c>
      <c r="D972" s="8" t="s">
        <v>6311</v>
      </c>
      <c r="E972" s="8" t="s">
        <v>6312</v>
      </c>
      <c r="F972" s="8" t="s">
        <v>6313</v>
      </c>
      <c r="G972" s="6" t="s">
        <v>90</v>
      </c>
      <c r="H972" s="6" t="s">
        <v>54</v>
      </c>
      <c r="I972" s="8" t="s">
        <v>40</v>
      </c>
      <c r="J972" s="9">
        <v>1</v>
      </c>
      <c r="K972" s="9">
        <v>224</v>
      </c>
      <c r="L972" s="9">
        <v>2025</v>
      </c>
      <c r="M972" s="8" t="s">
        <v>6314</v>
      </c>
      <c r="N972" s="8" t="s">
        <v>42</v>
      </c>
      <c r="O972" s="8" t="s">
        <v>187</v>
      </c>
      <c r="P972" s="6" t="s">
        <v>44</v>
      </c>
      <c r="Q972" s="8" t="s">
        <v>45</v>
      </c>
      <c r="R972" s="10" t="s">
        <v>4083</v>
      </c>
      <c r="S972" s="11" t="s">
        <v>6315</v>
      </c>
      <c r="T972" s="6"/>
      <c r="U972" s="24" t="str">
        <f>HYPERLINK("https://media.infra-m.ru/2187/2187247/cover/2187247.jpg", "Обложка")</f>
        <v>Обложка</v>
      </c>
      <c r="V972" s="24" t="str">
        <f>HYPERLINK("https://znanium.ru/catalog/product/2184839", "Ознакомиться")</f>
        <v>Ознакомиться</v>
      </c>
      <c r="W972" s="8" t="s">
        <v>6316</v>
      </c>
      <c r="X972" s="6"/>
      <c r="Y972" s="6"/>
      <c r="Z972" s="6" t="s">
        <v>48</v>
      </c>
      <c r="AA972" s="6" t="s">
        <v>111</v>
      </c>
      <c r="AB972" s="8"/>
    </row>
    <row r="973" spans="1:28" s="4" customFormat="1" ht="51.95" customHeight="1">
      <c r="A973" s="5">
        <v>0</v>
      </c>
      <c r="B973" s="6" t="s">
        <v>6317</v>
      </c>
      <c r="C973" s="7">
        <v>1114</v>
      </c>
      <c r="D973" s="8" t="s">
        <v>6318</v>
      </c>
      <c r="E973" s="8" t="s">
        <v>6319</v>
      </c>
      <c r="F973" s="8" t="s">
        <v>6320</v>
      </c>
      <c r="G973" s="6" t="s">
        <v>90</v>
      </c>
      <c r="H973" s="6" t="s">
        <v>54</v>
      </c>
      <c r="I973" s="8" t="s">
        <v>40</v>
      </c>
      <c r="J973" s="9">
        <v>1</v>
      </c>
      <c r="K973" s="9">
        <v>208</v>
      </c>
      <c r="L973" s="9">
        <v>2026</v>
      </c>
      <c r="M973" s="8" t="s">
        <v>6321</v>
      </c>
      <c r="N973" s="8" t="s">
        <v>42</v>
      </c>
      <c r="O973" s="8" t="s">
        <v>187</v>
      </c>
      <c r="P973" s="6" t="s">
        <v>58</v>
      </c>
      <c r="Q973" s="8" t="s">
        <v>45</v>
      </c>
      <c r="R973" s="10" t="s">
        <v>6322</v>
      </c>
      <c r="S973" s="11" t="s">
        <v>6323</v>
      </c>
      <c r="T973" s="6"/>
      <c r="U973" s="24" t="str">
        <f>HYPERLINK("https://media.infra-m.ru/2218/2218395/cover/2218395.jpg", "Обложка")</f>
        <v>Обложка</v>
      </c>
      <c r="V973" s="24" t="str">
        <f>HYPERLINK("https://znanium.ru/catalog/product/2192468", "Ознакомиться")</f>
        <v>Ознакомиться</v>
      </c>
      <c r="W973" s="8" t="s">
        <v>6316</v>
      </c>
      <c r="X973" s="6"/>
      <c r="Y973" s="6"/>
      <c r="Z973" s="6"/>
      <c r="AA973" s="6" t="s">
        <v>3514</v>
      </c>
      <c r="AB973" s="8"/>
    </row>
    <row r="974" spans="1:28" s="4" customFormat="1" ht="51.95" customHeight="1">
      <c r="A974" s="5">
        <v>0</v>
      </c>
      <c r="B974" s="6" t="s">
        <v>6324</v>
      </c>
      <c r="C974" s="7">
        <v>1120</v>
      </c>
      <c r="D974" s="8" t="s">
        <v>6325</v>
      </c>
      <c r="E974" s="8" t="s">
        <v>6326</v>
      </c>
      <c r="F974" s="8" t="s">
        <v>3776</v>
      </c>
      <c r="G974" s="6" t="s">
        <v>90</v>
      </c>
      <c r="H974" s="6" t="s">
        <v>54</v>
      </c>
      <c r="I974" s="8" t="s">
        <v>40</v>
      </c>
      <c r="J974" s="9">
        <v>1</v>
      </c>
      <c r="K974" s="9">
        <v>238</v>
      </c>
      <c r="L974" s="9">
        <v>2024</v>
      </c>
      <c r="M974" s="8" t="s">
        <v>6327</v>
      </c>
      <c r="N974" s="8" t="s">
        <v>42</v>
      </c>
      <c r="O974" s="8" t="s">
        <v>187</v>
      </c>
      <c r="P974" s="6" t="s">
        <v>44</v>
      </c>
      <c r="Q974" s="8" t="s">
        <v>45</v>
      </c>
      <c r="R974" s="10" t="s">
        <v>6328</v>
      </c>
      <c r="S974" s="11" t="s">
        <v>6329</v>
      </c>
      <c r="T974" s="6"/>
      <c r="U974" s="24" t="str">
        <f>HYPERLINK("https://media.infra-m.ru/2048/2048136/cover/2048136.jpg", "Обложка")</f>
        <v>Обложка</v>
      </c>
      <c r="V974" s="24" t="str">
        <f>HYPERLINK("https://znanium.ru/catalog/product/2048136", "Ознакомиться")</f>
        <v>Ознакомиться</v>
      </c>
      <c r="W974" s="8" t="s">
        <v>172</v>
      </c>
      <c r="X974" s="6"/>
      <c r="Y974" s="6" t="s">
        <v>30</v>
      </c>
      <c r="Z974" s="6"/>
      <c r="AA974" s="6" t="s">
        <v>304</v>
      </c>
      <c r="AB974" s="8"/>
    </row>
    <row r="975" spans="1:28" s="4" customFormat="1" ht="51.95" customHeight="1">
      <c r="A975" s="5">
        <v>0</v>
      </c>
      <c r="B975" s="6" t="s">
        <v>6330</v>
      </c>
      <c r="C975" s="7">
        <v>1784</v>
      </c>
      <c r="D975" s="8" t="s">
        <v>6331</v>
      </c>
      <c r="E975" s="8" t="s">
        <v>6332</v>
      </c>
      <c r="F975" s="8" t="s">
        <v>4482</v>
      </c>
      <c r="G975" s="6" t="s">
        <v>90</v>
      </c>
      <c r="H975" s="6" t="s">
        <v>54</v>
      </c>
      <c r="I975" s="8" t="s">
        <v>40</v>
      </c>
      <c r="J975" s="9">
        <v>1</v>
      </c>
      <c r="K975" s="9">
        <v>358</v>
      </c>
      <c r="L975" s="9">
        <v>2025</v>
      </c>
      <c r="M975" s="8" t="s">
        <v>6333</v>
      </c>
      <c r="N975" s="8" t="s">
        <v>42</v>
      </c>
      <c r="O975" s="8" t="s">
        <v>243</v>
      </c>
      <c r="P975" s="6" t="s">
        <v>44</v>
      </c>
      <c r="Q975" s="8" t="s">
        <v>45</v>
      </c>
      <c r="R975" s="10" t="s">
        <v>6334</v>
      </c>
      <c r="S975" s="11" t="s">
        <v>6335</v>
      </c>
      <c r="T975" s="6"/>
      <c r="U975" s="24" t="str">
        <f>HYPERLINK("https://media.infra-m.ru/2187/2187000/cover/2187000.jpg", "Обложка")</f>
        <v>Обложка</v>
      </c>
      <c r="V975" s="24" t="str">
        <f>HYPERLINK("https://znanium.ru/catalog/product/2139017", "Ознакомиться")</f>
        <v>Ознакомиться</v>
      </c>
      <c r="W975" s="8" t="s">
        <v>4484</v>
      </c>
      <c r="X975" s="6"/>
      <c r="Y975" s="6"/>
      <c r="Z975" s="6"/>
      <c r="AA975" s="6" t="s">
        <v>500</v>
      </c>
      <c r="AB975" s="8"/>
    </row>
    <row r="976" spans="1:28" s="4" customFormat="1" ht="51.95" customHeight="1">
      <c r="A976" s="5">
        <v>0</v>
      </c>
      <c r="B976" s="6" t="s">
        <v>6336</v>
      </c>
      <c r="C976" s="7">
        <v>1104</v>
      </c>
      <c r="D976" s="8" t="s">
        <v>6337</v>
      </c>
      <c r="E976" s="8" t="s">
        <v>6338</v>
      </c>
      <c r="F976" s="8" t="s">
        <v>6339</v>
      </c>
      <c r="G976" s="6" t="s">
        <v>38</v>
      </c>
      <c r="H976" s="6" t="s">
        <v>54</v>
      </c>
      <c r="I976" s="8" t="s">
        <v>40</v>
      </c>
      <c r="J976" s="9">
        <v>1</v>
      </c>
      <c r="K976" s="9">
        <v>235</v>
      </c>
      <c r="L976" s="9">
        <v>2024</v>
      </c>
      <c r="M976" s="8" t="s">
        <v>6340</v>
      </c>
      <c r="N976" s="8" t="s">
        <v>42</v>
      </c>
      <c r="O976" s="8" t="s">
        <v>243</v>
      </c>
      <c r="P976" s="6" t="s">
        <v>44</v>
      </c>
      <c r="Q976" s="8" t="s">
        <v>45</v>
      </c>
      <c r="R976" s="10" t="s">
        <v>1882</v>
      </c>
      <c r="S976" s="11" t="s">
        <v>6341</v>
      </c>
      <c r="T976" s="6"/>
      <c r="U976" s="24" t="str">
        <f>HYPERLINK("https://media.infra-m.ru/2079/2079247/cover/2079247.jpg", "Обложка")</f>
        <v>Обложка</v>
      </c>
      <c r="V976" s="24" t="str">
        <f>HYPERLINK("https://znanium.ru/catalog/product/1236299", "Ознакомиться")</f>
        <v>Ознакомиться</v>
      </c>
      <c r="W976" s="8" t="s">
        <v>6342</v>
      </c>
      <c r="X976" s="6"/>
      <c r="Y976" s="6"/>
      <c r="Z976" s="6"/>
      <c r="AA976" s="6" t="s">
        <v>181</v>
      </c>
      <c r="AB976" s="8"/>
    </row>
    <row r="977" spans="1:28" s="4" customFormat="1" ht="51.95" customHeight="1">
      <c r="A977" s="5">
        <v>0</v>
      </c>
      <c r="B977" s="6" t="s">
        <v>6343</v>
      </c>
      <c r="C977" s="7">
        <v>1330</v>
      </c>
      <c r="D977" s="8" t="s">
        <v>6344</v>
      </c>
      <c r="E977" s="8" t="s">
        <v>6345</v>
      </c>
      <c r="F977" s="8" t="s">
        <v>6346</v>
      </c>
      <c r="G977" s="6" t="s">
        <v>90</v>
      </c>
      <c r="H977" s="6" t="s">
        <v>54</v>
      </c>
      <c r="I977" s="8" t="s">
        <v>40</v>
      </c>
      <c r="J977" s="9">
        <v>1</v>
      </c>
      <c r="K977" s="9">
        <v>286</v>
      </c>
      <c r="L977" s="9">
        <v>2024</v>
      </c>
      <c r="M977" s="8" t="s">
        <v>6347</v>
      </c>
      <c r="N977" s="8" t="s">
        <v>56</v>
      </c>
      <c r="O977" s="8" t="s">
        <v>57</v>
      </c>
      <c r="P977" s="6" t="s">
        <v>58</v>
      </c>
      <c r="Q977" s="8" t="s">
        <v>45</v>
      </c>
      <c r="R977" s="10" t="s">
        <v>6348</v>
      </c>
      <c r="S977" s="11" t="s">
        <v>6349</v>
      </c>
      <c r="T977" s="6"/>
      <c r="U977" s="24" t="str">
        <f>HYPERLINK("https://media.infra-m.ru/2129/2129206/cover/2129206.jpg", "Обложка")</f>
        <v>Обложка</v>
      </c>
      <c r="V977" s="24" t="str">
        <f>HYPERLINK("https://znanium.ru/catalog/product/2129206", "Ознакомиться")</f>
        <v>Ознакомиться</v>
      </c>
      <c r="W977" s="8" t="s">
        <v>3082</v>
      </c>
      <c r="X977" s="6"/>
      <c r="Y977" s="6" t="s">
        <v>30</v>
      </c>
      <c r="Z977" s="6" t="s">
        <v>207</v>
      </c>
      <c r="AA977" s="6" t="s">
        <v>485</v>
      </c>
      <c r="AB977" s="8"/>
    </row>
    <row r="978" spans="1:28" s="4" customFormat="1" ht="51.95" customHeight="1">
      <c r="A978" s="5">
        <v>0</v>
      </c>
      <c r="B978" s="6" t="s">
        <v>6350</v>
      </c>
      <c r="C978" s="13">
        <v>960</v>
      </c>
      <c r="D978" s="8" t="s">
        <v>6351</v>
      </c>
      <c r="E978" s="8" t="s">
        <v>6352</v>
      </c>
      <c r="F978" s="8" t="s">
        <v>6353</v>
      </c>
      <c r="G978" s="6" t="s">
        <v>90</v>
      </c>
      <c r="H978" s="6" t="s">
        <v>54</v>
      </c>
      <c r="I978" s="8" t="s">
        <v>40</v>
      </c>
      <c r="J978" s="9">
        <v>1</v>
      </c>
      <c r="K978" s="9">
        <v>192</v>
      </c>
      <c r="L978" s="9">
        <v>2025</v>
      </c>
      <c r="M978" s="8" t="s">
        <v>6354</v>
      </c>
      <c r="N978" s="8" t="s">
        <v>1306</v>
      </c>
      <c r="O978" s="8" t="s">
        <v>1307</v>
      </c>
      <c r="P978" s="6" t="s">
        <v>1285</v>
      </c>
      <c r="Q978" s="8" t="s">
        <v>45</v>
      </c>
      <c r="R978" s="10" t="s">
        <v>6355</v>
      </c>
      <c r="S978" s="11" t="s">
        <v>6356</v>
      </c>
      <c r="T978" s="6"/>
      <c r="U978" s="24" t="str">
        <f>HYPERLINK("https://media.infra-m.ru/2185/2185186/cover/2185186.jpg", "Обложка")</f>
        <v>Обложка</v>
      </c>
      <c r="V978" s="24" t="str">
        <f>HYPERLINK("https://znanium.ru/catalog/product/2185186", "Ознакомиться")</f>
        <v>Ознакомиться</v>
      </c>
      <c r="W978" s="8" t="s">
        <v>3140</v>
      </c>
      <c r="X978" s="6"/>
      <c r="Y978" s="6"/>
      <c r="Z978" s="6" t="s">
        <v>207</v>
      </c>
      <c r="AA978" s="6" t="s">
        <v>740</v>
      </c>
      <c r="AB978" s="8"/>
    </row>
    <row r="979" spans="1:28" s="4" customFormat="1" ht="51.95" customHeight="1">
      <c r="A979" s="5">
        <v>0</v>
      </c>
      <c r="B979" s="6" t="s">
        <v>6357</v>
      </c>
      <c r="C979" s="7">
        <v>1762</v>
      </c>
      <c r="D979" s="8" t="s">
        <v>6358</v>
      </c>
      <c r="E979" s="8" t="s">
        <v>6359</v>
      </c>
      <c r="F979" s="8" t="s">
        <v>6360</v>
      </c>
      <c r="G979" s="6" t="s">
        <v>90</v>
      </c>
      <c r="H979" s="6" t="s">
        <v>54</v>
      </c>
      <c r="I979" s="8" t="s">
        <v>40</v>
      </c>
      <c r="J979" s="9">
        <v>1</v>
      </c>
      <c r="K979" s="9">
        <v>256</v>
      </c>
      <c r="L979" s="9">
        <v>2025</v>
      </c>
      <c r="M979" s="8" t="s">
        <v>6361</v>
      </c>
      <c r="N979" s="8" t="s">
        <v>56</v>
      </c>
      <c r="O979" s="8" t="s">
        <v>807</v>
      </c>
      <c r="P979" s="6" t="s">
        <v>44</v>
      </c>
      <c r="Q979" s="8" t="s">
        <v>45</v>
      </c>
      <c r="R979" s="10" t="s">
        <v>6362</v>
      </c>
      <c r="S979" s="11" t="s">
        <v>6363</v>
      </c>
      <c r="T979" s="6"/>
      <c r="U979" s="24" t="str">
        <f>HYPERLINK("https://media.infra-m.ru/2179/2179087/cover/2179087.jpg", "Обложка")</f>
        <v>Обложка</v>
      </c>
      <c r="V979" s="24" t="str">
        <f>HYPERLINK("https://znanium.ru/catalog/product/2179087", "Ознакомиться")</f>
        <v>Ознакомиться</v>
      </c>
      <c r="W979" s="8" t="s">
        <v>180</v>
      </c>
      <c r="X979" s="6"/>
      <c r="Y979" s="6"/>
      <c r="Z979" s="6"/>
      <c r="AA979" s="6" t="s">
        <v>237</v>
      </c>
      <c r="AB979" s="8"/>
    </row>
    <row r="980" spans="1:28" s="4" customFormat="1" ht="51.95" customHeight="1">
      <c r="A980" s="5">
        <v>0</v>
      </c>
      <c r="B980" s="6" t="s">
        <v>6364</v>
      </c>
      <c r="C980" s="7">
        <v>2690</v>
      </c>
      <c r="D980" s="8" t="s">
        <v>6365</v>
      </c>
      <c r="E980" s="8" t="s">
        <v>6366</v>
      </c>
      <c r="F980" s="8" t="s">
        <v>6367</v>
      </c>
      <c r="G980" s="6" t="s">
        <v>38</v>
      </c>
      <c r="H980" s="6" t="s">
        <v>54</v>
      </c>
      <c r="I980" s="8" t="s">
        <v>40</v>
      </c>
      <c r="J980" s="9">
        <v>1</v>
      </c>
      <c r="K980" s="9">
        <v>512</v>
      </c>
      <c r="L980" s="9">
        <v>2026</v>
      </c>
      <c r="M980" s="8" t="s">
        <v>6368</v>
      </c>
      <c r="N980" s="8" t="s">
        <v>56</v>
      </c>
      <c r="O980" s="8" t="s">
        <v>57</v>
      </c>
      <c r="P980" s="6" t="s">
        <v>58</v>
      </c>
      <c r="Q980" s="8" t="s">
        <v>45</v>
      </c>
      <c r="R980" s="10" t="s">
        <v>6369</v>
      </c>
      <c r="S980" s="11" t="s">
        <v>1559</v>
      </c>
      <c r="T980" s="6"/>
      <c r="U980" s="24" t="str">
        <f>HYPERLINK("https://media.infra-m.ru/2212/2212438/cover/2212438.jpg", "Обложка")</f>
        <v>Обложка</v>
      </c>
      <c r="V980" s="24" t="str">
        <f>HYPERLINK("https://znanium.ru/catalog/product/2212438", "Ознакомиться")</f>
        <v>Ознакомиться</v>
      </c>
      <c r="W980" s="8" t="s">
        <v>956</v>
      </c>
      <c r="X980" s="6"/>
      <c r="Y980" s="6"/>
      <c r="Z980" s="6"/>
      <c r="AA980" s="6" t="s">
        <v>261</v>
      </c>
      <c r="AB980" s="8"/>
    </row>
    <row r="981" spans="1:28" s="4" customFormat="1" ht="42" customHeight="1">
      <c r="A981" s="5">
        <v>0</v>
      </c>
      <c r="B981" s="6" t="s">
        <v>6370</v>
      </c>
      <c r="C981" s="7">
        <v>1140</v>
      </c>
      <c r="D981" s="8" t="s">
        <v>6371</v>
      </c>
      <c r="E981" s="8" t="s">
        <v>6372</v>
      </c>
      <c r="F981" s="8" t="s">
        <v>6373</v>
      </c>
      <c r="G981" s="6" t="s">
        <v>38</v>
      </c>
      <c r="H981" s="6" t="s">
        <v>54</v>
      </c>
      <c r="I981" s="8" t="s">
        <v>40</v>
      </c>
      <c r="J981" s="9">
        <v>1</v>
      </c>
      <c r="K981" s="9">
        <v>225</v>
      </c>
      <c r="L981" s="9">
        <v>2024</v>
      </c>
      <c r="M981" s="8" t="s">
        <v>6374</v>
      </c>
      <c r="N981" s="8" t="s">
        <v>56</v>
      </c>
      <c r="O981" s="8" t="s">
        <v>57</v>
      </c>
      <c r="P981" s="6" t="s">
        <v>44</v>
      </c>
      <c r="Q981" s="8" t="s">
        <v>45</v>
      </c>
      <c r="R981" s="10" t="s">
        <v>108</v>
      </c>
      <c r="S981" s="11"/>
      <c r="T981" s="6"/>
      <c r="U981" s="24" t="str">
        <f>HYPERLINK("https://media.infra-m.ru/2137/2137809/cover/2137809.jpg", "Обложка")</f>
        <v>Обложка</v>
      </c>
      <c r="V981" s="24" t="str">
        <f>HYPERLINK("https://znanium.ru/catalog/product/2137809", "Ознакомиться")</f>
        <v>Ознакомиться</v>
      </c>
      <c r="W981" s="8" t="s">
        <v>5627</v>
      </c>
      <c r="X981" s="6"/>
      <c r="Y981" s="6"/>
      <c r="Z981" s="6"/>
      <c r="AA981" s="6" t="s">
        <v>354</v>
      </c>
      <c r="AB981" s="8"/>
    </row>
    <row r="982" spans="1:28" s="4" customFormat="1" ht="51.95" customHeight="1">
      <c r="A982" s="5">
        <v>0</v>
      </c>
      <c r="B982" s="6" t="s">
        <v>6375</v>
      </c>
      <c r="C982" s="7">
        <v>1674</v>
      </c>
      <c r="D982" s="8" t="s">
        <v>6376</v>
      </c>
      <c r="E982" s="8" t="s">
        <v>6377</v>
      </c>
      <c r="F982" s="8" t="s">
        <v>6378</v>
      </c>
      <c r="G982" s="6" t="s">
        <v>90</v>
      </c>
      <c r="H982" s="6" t="s">
        <v>54</v>
      </c>
      <c r="I982" s="8" t="s">
        <v>40</v>
      </c>
      <c r="J982" s="9">
        <v>1</v>
      </c>
      <c r="K982" s="9">
        <v>323</v>
      </c>
      <c r="L982" s="9">
        <v>2026</v>
      </c>
      <c r="M982" s="8" t="s">
        <v>6379</v>
      </c>
      <c r="N982" s="8" t="s">
        <v>56</v>
      </c>
      <c r="O982" s="8" t="s">
        <v>57</v>
      </c>
      <c r="P982" s="6" t="s">
        <v>58</v>
      </c>
      <c r="Q982" s="8" t="s">
        <v>45</v>
      </c>
      <c r="R982" s="10" t="s">
        <v>6380</v>
      </c>
      <c r="S982" s="11" t="s">
        <v>6381</v>
      </c>
      <c r="T982" s="6"/>
      <c r="U982" s="24" t="str">
        <f>HYPERLINK("https://media.infra-m.ru/2218/2218866/cover/2218866.jpg", "Обложка")</f>
        <v>Обложка</v>
      </c>
      <c r="V982" s="24" t="str">
        <f>HYPERLINK("https://znanium.ru/catalog/product/2185076", "Ознакомиться")</f>
        <v>Ознакомиться</v>
      </c>
      <c r="W982" s="8" t="s">
        <v>3279</v>
      </c>
      <c r="X982" s="6"/>
      <c r="Y982" s="6"/>
      <c r="Z982" s="6" t="s">
        <v>48</v>
      </c>
      <c r="AA982" s="6" t="s">
        <v>129</v>
      </c>
      <c r="AB982" s="8"/>
    </row>
    <row r="983" spans="1:28" s="4" customFormat="1" ht="51.95" customHeight="1">
      <c r="A983" s="5">
        <v>0</v>
      </c>
      <c r="B983" s="6" t="s">
        <v>6382</v>
      </c>
      <c r="C983" s="7">
        <v>2840</v>
      </c>
      <c r="D983" s="8" t="s">
        <v>6383</v>
      </c>
      <c r="E983" s="8" t="s">
        <v>6384</v>
      </c>
      <c r="F983" s="8" t="s">
        <v>6385</v>
      </c>
      <c r="G983" s="6" t="s">
        <v>38</v>
      </c>
      <c r="H983" s="6" t="s">
        <v>54</v>
      </c>
      <c r="I983" s="8" t="s">
        <v>40</v>
      </c>
      <c r="J983" s="9">
        <v>1</v>
      </c>
      <c r="K983" s="9">
        <v>630</v>
      </c>
      <c r="L983" s="9">
        <v>2023</v>
      </c>
      <c r="M983" s="8" t="s">
        <v>6386</v>
      </c>
      <c r="N983" s="8" t="s">
        <v>56</v>
      </c>
      <c r="O983" s="8" t="s">
        <v>57</v>
      </c>
      <c r="P983" s="6" t="s">
        <v>44</v>
      </c>
      <c r="Q983" s="8" t="s">
        <v>45</v>
      </c>
      <c r="R983" s="10" t="s">
        <v>6387</v>
      </c>
      <c r="S983" s="11" t="s">
        <v>6388</v>
      </c>
      <c r="T983" s="6" t="s">
        <v>118</v>
      </c>
      <c r="U983" s="24" t="str">
        <f>HYPERLINK("https://media.infra-m.ru/1014/1014771/cover/1014771.jpg", "Обложка")</f>
        <v>Обложка</v>
      </c>
      <c r="V983" s="24" t="str">
        <f>HYPERLINK("https://znanium.ru/catalog/product/1014771", "Ознакомиться")</f>
        <v>Ознакомиться</v>
      </c>
      <c r="W983" s="8" t="s">
        <v>1581</v>
      </c>
      <c r="X983" s="6"/>
      <c r="Y983" s="6"/>
      <c r="Z983" s="6"/>
      <c r="AA983" s="6" t="s">
        <v>102</v>
      </c>
      <c r="AB983" s="8"/>
    </row>
    <row r="984" spans="1:28" s="4" customFormat="1" ht="51.95" customHeight="1">
      <c r="A984" s="5">
        <v>0</v>
      </c>
      <c r="B984" s="6" t="s">
        <v>6389</v>
      </c>
      <c r="C984" s="7">
        <v>3700</v>
      </c>
      <c r="D984" s="8" t="s">
        <v>6390</v>
      </c>
      <c r="E984" s="8" t="s">
        <v>6391</v>
      </c>
      <c r="F984" s="8" t="s">
        <v>6385</v>
      </c>
      <c r="G984" s="6" t="s">
        <v>38</v>
      </c>
      <c r="H984" s="6" t="s">
        <v>54</v>
      </c>
      <c r="I984" s="8" t="s">
        <v>40</v>
      </c>
      <c r="J984" s="9">
        <v>1</v>
      </c>
      <c r="K984" s="9">
        <v>823</v>
      </c>
      <c r="L984" s="9">
        <v>2023</v>
      </c>
      <c r="M984" s="8" t="s">
        <v>6392</v>
      </c>
      <c r="N984" s="8" t="s">
        <v>56</v>
      </c>
      <c r="O984" s="8" t="s">
        <v>57</v>
      </c>
      <c r="P984" s="6" t="s">
        <v>58</v>
      </c>
      <c r="Q984" s="8" t="s">
        <v>45</v>
      </c>
      <c r="R984" s="10" t="s">
        <v>6387</v>
      </c>
      <c r="S984" s="11" t="s">
        <v>6393</v>
      </c>
      <c r="T984" s="6" t="s">
        <v>118</v>
      </c>
      <c r="U984" s="24" t="str">
        <f>HYPERLINK("https://media.infra-m.ru/2036/2036505/cover/2036505.jpg", "Обложка")</f>
        <v>Обложка</v>
      </c>
      <c r="V984" s="24" t="str">
        <f>HYPERLINK("https://znanium.ru/catalog/product/1013721", "Ознакомиться")</f>
        <v>Ознакомиться</v>
      </c>
      <c r="W984" s="8" t="s">
        <v>1581</v>
      </c>
      <c r="X984" s="6"/>
      <c r="Y984" s="6"/>
      <c r="Z984" s="6"/>
      <c r="AA984" s="6" t="s">
        <v>102</v>
      </c>
      <c r="AB984" s="8"/>
    </row>
    <row r="985" spans="1:28" s="4" customFormat="1" ht="51.95" customHeight="1">
      <c r="A985" s="5">
        <v>0</v>
      </c>
      <c r="B985" s="6" t="s">
        <v>6394</v>
      </c>
      <c r="C985" s="7">
        <v>1200</v>
      </c>
      <c r="D985" s="8" t="s">
        <v>6395</v>
      </c>
      <c r="E985" s="8" t="s">
        <v>6396</v>
      </c>
      <c r="F985" s="8" t="s">
        <v>133</v>
      </c>
      <c r="G985" s="6" t="s">
        <v>90</v>
      </c>
      <c r="H985" s="6" t="s">
        <v>134</v>
      </c>
      <c r="I985" s="8" t="s">
        <v>40</v>
      </c>
      <c r="J985" s="9">
        <v>1</v>
      </c>
      <c r="K985" s="9">
        <v>267</v>
      </c>
      <c r="L985" s="9">
        <v>2023</v>
      </c>
      <c r="M985" s="8" t="s">
        <v>6397</v>
      </c>
      <c r="N985" s="8" t="s">
        <v>56</v>
      </c>
      <c r="O985" s="8" t="s">
        <v>57</v>
      </c>
      <c r="P985" s="6" t="s">
        <v>44</v>
      </c>
      <c r="Q985" s="8" t="s">
        <v>45</v>
      </c>
      <c r="R985" s="10" t="s">
        <v>6398</v>
      </c>
      <c r="S985" s="11" t="s">
        <v>6399</v>
      </c>
      <c r="T985" s="6"/>
      <c r="U985" s="24" t="str">
        <f>HYPERLINK("https://media.infra-m.ru/1914/1914132/cover/1914132.jpg", "Обложка")</f>
        <v>Обложка</v>
      </c>
      <c r="V985" s="24" t="str">
        <f>HYPERLINK("https://znanium.ru/catalog/product/1914132", "Ознакомиться")</f>
        <v>Ознакомиться</v>
      </c>
      <c r="W985" s="8" t="s">
        <v>138</v>
      </c>
      <c r="X985" s="6"/>
      <c r="Y985" s="6"/>
      <c r="Z985" s="6" t="s">
        <v>207</v>
      </c>
      <c r="AA985" s="6" t="s">
        <v>740</v>
      </c>
      <c r="AB985" s="8"/>
    </row>
    <row r="986" spans="1:28" s="4" customFormat="1" ht="51.95" customHeight="1">
      <c r="A986" s="5">
        <v>0</v>
      </c>
      <c r="B986" s="6" t="s">
        <v>6400</v>
      </c>
      <c r="C986" s="7">
        <v>1840</v>
      </c>
      <c r="D986" s="8" t="s">
        <v>6401</v>
      </c>
      <c r="E986" s="8" t="s">
        <v>6402</v>
      </c>
      <c r="F986" s="8" t="s">
        <v>6403</v>
      </c>
      <c r="G986" s="6" t="s">
        <v>90</v>
      </c>
      <c r="H986" s="6" t="s">
        <v>54</v>
      </c>
      <c r="I986" s="8" t="s">
        <v>40</v>
      </c>
      <c r="J986" s="9">
        <v>1</v>
      </c>
      <c r="K986" s="9">
        <v>368</v>
      </c>
      <c r="L986" s="9">
        <v>2025</v>
      </c>
      <c r="M986" s="8" t="s">
        <v>6404</v>
      </c>
      <c r="N986" s="8" t="s">
        <v>56</v>
      </c>
      <c r="O986" s="8" t="s">
        <v>57</v>
      </c>
      <c r="P986" s="6" t="s">
        <v>58</v>
      </c>
      <c r="Q986" s="8" t="s">
        <v>45</v>
      </c>
      <c r="R986" s="10" t="s">
        <v>6405</v>
      </c>
      <c r="S986" s="11" t="s">
        <v>6406</v>
      </c>
      <c r="T986" s="6"/>
      <c r="U986" s="24" t="str">
        <f>HYPERLINK("https://media.infra-m.ru/2139/2139070/cover/2139070.jpg", "Обложка")</f>
        <v>Обложка</v>
      </c>
      <c r="V986" s="24" t="str">
        <f>HYPERLINK("https://znanium.ru/catalog/product/2139070", "Ознакомиться")</f>
        <v>Ознакомиться</v>
      </c>
      <c r="W986" s="8"/>
      <c r="X986" s="6"/>
      <c r="Y986" s="6"/>
      <c r="Z986" s="6"/>
      <c r="AA986" s="6" t="s">
        <v>6407</v>
      </c>
      <c r="AB986" s="8"/>
    </row>
    <row r="987" spans="1:28" s="4" customFormat="1" ht="51.95" customHeight="1">
      <c r="A987" s="5">
        <v>0</v>
      </c>
      <c r="B987" s="6" t="s">
        <v>6408</v>
      </c>
      <c r="C987" s="7">
        <v>1110</v>
      </c>
      <c r="D987" s="8" t="s">
        <v>6409</v>
      </c>
      <c r="E987" s="8" t="s">
        <v>6410</v>
      </c>
      <c r="F987" s="8" t="s">
        <v>6411</v>
      </c>
      <c r="G987" s="6" t="s">
        <v>90</v>
      </c>
      <c r="H987" s="6" t="s">
        <v>54</v>
      </c>
      <c r="I987" s="8" t="s">
        <v>40</v>
      </c>
      <c r="J987" s="9">
        <v>1</v>
      </c>
      <c r="K987" s="9">
        <v>240</v>
      </c>
      <c r="L987" s="9">
        <v>2024</v>
      </c>
      <c r="M987" s="8" t="s">
        <v>6412</v>
      </c>
      <c r="N987" s="8" t="s">
        <v>56</v>
      </c>
      <c r="O987" s="8" t="s">
        <v>57</v>
      </c>
      <c r="P987" s="6" t="s">
        <v>58</v>
      </c>
      <c r="Q987" s="8" t="s">
        <v>45</v>
      </c>
      <c r="R987" s="10" t="s">
        <v>6413</v>
      </c>
      <c r="S987" s="11" t="s">
        <v>6414</v>
      </c>
      <c r="T987" s="6"/>
      <c r="U987" s="24" t="str">
        <f>HYPERLINK("https://media.infra-m.ru/2132/2132079/cover/2132079.jpg", "Обложка")</f>
        <v>Обложка</v>
      </c>
      <c r="V987" s="24" t="str">
        <f>HYPERLINK("https://znanium.ru/catalog/product/2132079", "Ознакомиться")</f>
        <v>Ознакомиться</v>
      </c>
      <c r="W987" s="8" t="s">
        <v>3082</v>
      </c>
      <c r="X987" s="6"/>
      <c r="Y987" s="6" t="s">
        <v>30</v>
      </c>
      <c r="Z987" s="6" t="s">
        <v>48</v>
      </c>
      <c r="AA987" s="6" t="s">
        <v>443</v>
      </c>
      <c r="AB987" s="8" t="s">
        <v>860</v>
      </c>
    </row>
    <row r="988" spans="1:28" s="4" customFormat="1" ht="51.95" customHeight="1">
      <c r="A988" s="5">
        <v>0</v>
      </c>
      <c r="B988" s="6" t="s">
        <v>6415</v>
      </c>
      <c r="C988" s="13">
        <v>724</v>
      </c>
      <c r="D988" s="8" t="s">
        <v>6416</v>
      </c>
      <c r="E988" s="8" t="s">
        <v>6417</v>
      </c>
      <c r="F988" s="8" t="s">
        <v>6418</v>
      </c>
      <c r="G988" s="6" t="s">
        <v>90</v>
      </c>
      <c r="H988" s="6" t="s">
        <v>299</v>
      </c>
      <c r="I988" s="8" t="s">
        <v>69</v>
      </c>
      <c r="J988" s="9">
        <v>1</v>
      </c>
      <c r="K988" s="9">
        <v>144</v>
      </c>
      <c r="L988" s="9">
        <v>2025</v>
      </c>
      <c r="M988" s="8" t="s">
        <v>6419</v>
      </c>
      <c r="N988" s="8" t="s">
        <v>56</v>
      </c>
      <c r="O988" s="8" t="s">
        <v>57</v>
      </c>
      <c r="P988" s="6" t="s">
        <v>44</v>
      </c>
      <c r="Q988" s="8" t="s">
        <v>45</v>
      </c>
      <c r="R988" s="10" t="s">
        <v>6420</v>
      </c>
      <c r="S988" s="11" t="s">
        <v>6421</v>
      </c>
      <c r="T988" s="6"/>
      <c r="U988" s="24" t="str">
        <f>HYPERLINK("https://media.infra-m.ru/2187/2187048/cover/2187048.jpg", "Обложка")</f>
        <v>Обложка</v>
      </c>
      <c r="V988" s="24" t="str">
        <f>HYPERLINK("https://znanium.ru/catalog/product/1915889", "Ознакомиться")</f>
        <v>Ознакомиться</v>
      </c>
      <c r="W988" s="8" t="s">
        <v>6422</v>
      </c>
      <c r="X988" s="6"/>
      <c r="Y988" s="6"/>
      <c r="Z988" s="6"/>
      <c r="AA988" s="6" t="s">
        <v>835</v>
      </c>
      <c r="AB988" s="8"/>
    </row>
    <row r="989" spans="1:28" s="4" customFormat="1" ht="51.95" customHeight="1">
      <c r="A989" s="5">
        <v>0</v>
      </c>
      <c r="B989" s="6" t="s">
        <v>6423</v>
      </c>
      <c r="C989" s="13">
        <v>824</v>
      </c>
      <c r="D989" s="8" t="s">
        <v>6424</v>
      </c>
      <c r="E989" s="8" t="s">
        <v>6417</v>
      </c>
      <c r="F989" s="8" t="s">
        <v>6425</v>
      </c>
      <c r="G989" s="6" t="s">
        <v>90</v>
      </c>
      <c r="H989" s="6" t="s">
        <v>68</v>
      </c>
      <c r="I989" s="8" t="s">
        <v>69</v>
      </c>
      <c r="J989" s="9">
        <v>1</v>
      </c>
      <c r="K989" s="9">
        <v>168</v>
      </c>
      <c r="L989" s="9">
        <v>2024</v>
      </c>
      <c r="M989" s="8" t="s">
        <v>6426</v>
      </c>
      <c r="N989" s="8" t="s">
        <v>56</v>
      </c>
      <c r="O989" s="8" t="s">
        <v>57</v>
      </c>
      <c r="P989" s="6" t="s">
        <v>44</v>
      </c>
      <c r="Q989" s="8" t="s">
        <v>45</v>
      </c>
      <c r="R989" s="10" t="s">
        <v>6427</v>
      </c>
      <c r="S989" s="11"/>
      <c r="T989" s="6"/>
      <c r="U989" s="24" t="str">
        <f>HYPERLINK("https://media.infra-m.ru/1960/1960111/cover/1960111.jpg", "Обложка")</f>
        <v>Обложка</v>
      </c>
      <c r="V989" s="24" t="str">
        <f>HYPERLINK("https://znanium.ru/catalog/product/1841657", "Ознакомиться")</f>
        <v>Ознакомиться</v>
      </c>
      <c r="W989" s="8" t="s">
        <v>6428</v>
      </c>
      <c r="X989" s="6"/>
      <c r="Y989" s="6"/>
      <c r="Z989" s="6" t="s">
        <v>48</v>
      </c>
      <c r="AA989" s="6" t="s">
        <v>740</v>
      </c>
      <c r="AB989" s="8"/>
    </row>
    <row r="990" spans="1:28" s="4" customFormat="1" ht="51.95" customHeight="1">
      <c r="A990" s="5">
        <v>0</v>
      </c>
      <c r="B990" s="6" t="s">
        <v>6429</v>
      </c>
      <c r="C990" s="13">
        <v>900</v>
      </c>
      <c r="D990" s="8" t="s">
        <v>6430</v>
      </c>
      <c r="E990" s="8" t="s">
        <v>6431</v>
      </c>
      <c r="F990" s="8" t="s">
        <v>6432</v>
      </c>
      <c r="G990" s="6" t="s">
        <v>90</v>
      </c>
      <c r="H990" s="6" t="s">
        <v>54</v>
      </c>
      <c r="I990" s="8" t="s">
        <v>40</v>
      </c>
      <c r="J990" s="9">
        <v>1</v>
      </c>
      <c r="K990" s="9">
        <v>195</v>
      </c>
      <c r="L990" s="9">
        <v>2024</v>
      </c>
      <c r="M990" s="8" t="s">
        <v>6433</v>
      </c>
      <c r="N990" s="8" t="s">
        <v>56</v>
      </c>
      <c r="O990" s="8" t="s">
        <v>57</v>
      </c>
      <c r="P990" s="6" t="s">
        <v>44</v>
      </c>
      <c r="Q990" s="8" t="s">
        <v>45</v>
      </c>
      <c r="R990" s="10" t="s">
        <v>6434</v>
      </c>
      <c r="S990" s="11" t="s">
        <v>6435</v>
      </c>
      <c r="T990" s="6"/>
      <c r="U990" s="24" t="str">
        <f>HYPERLINK("https://media.infra-m.ru/2128/2128446/cover/2128446.jpg", "Обложка")</f>
        <v>Обложка</v>
      </c>
      <c r="V990" s="24" t="str">
        <f>HYPERLINK("https://znanium.ru/catalog/product/2128446", "Ознакомиться")</f>
        <v>Ознакомиться</v>
      </c>
      <c r="W990" s="8" t="s">
        <v>1560</v>
      </c>
      <c r="X990" s="6"/>
      <c r="Y990" s="6"/>
      <c r="Z990" s="6"/>
      <c r="AA990" s="6" t="s">
        <v>111</v>
      </c>
      <c r="AB990" s="8"/>
    </row>
    <row r="991" spans="1:28" s="4" customFormat="1" ht="51.95" customHeight="1">
      <c r="A991" s="5">
        <v>0</v>
      </c>
      <c r="B991" s="6" t="s">
        <v>6436</v>
      </c>
      <c r="C991" s="7">
        <v>1670</v>
      </c>
      <c r="D991" s="8" t="s">
        <v>6437</v>
      </c>
      <c r="E991" s="8" t="s">
        <v>6431</v>
      </c>
      <c r="F991" s="8" t="s">
        <v>6432</v>
      </c>
      <c r="G991" s="6" t="s">
        <v>90</v>
      </c>
      <c r="H991" s="6" t="s">
        <v>54</v>
      </c>
      <c r="I991" s="8" t="s">
        <v>40</v>
      </c>
      <c r="J991" s="9">
        <v>1</v>
      </c>
      <c r="K991" s="9">
        <v>363</v>
      </c>
      <c r="L991" s="9">
        <v>2024</v>
      </c>
      <c r="M991" s="8" t="s">
        <v>6438</v>
      </c>
      <c r="N991" s="8" t="s">
        <v>56</v>
      </c>
      <c r="O991" s="8" t="s">
        <v>57</v>
      </c>
      <c r="P991" s="6" t="s">
        <v>58</v>
      </c>
      <c r="Q991" s="8" t="s">
        <v>45</v>
      </c>
      <c r="R991" s="10" t="s">
        <v>6439</v>
      </c>
      <c r="S991" s="11" t="s">
        <v>6138</v>
      </c>
      <c r="T991" s="6"/>
      <c r="U991" s="24" t="str">
        <f>HYPERLINK("https://media.infra-m.ru/2075/2075105/cover/2075105.jpg", "Обложка")</f>
        <v>Обложка</v>
      </c>
      <c r="V991" s="24" t="str">
        <f>HYPERLINK("https://znanium.ru/catalog/product/2075105", "Ознакомиться")</f>
        <v>Ознакомиться</v>
      </c>
      <c r="W991" s="8" t="s">
        <v>1560</v>
      </c>
      <c r="X991" s="6"/>
      <c r="Y991" s="6"/>
      <c r="Z991" s="6"/>
      <c r="AA991" s="6" t="s">
        <v>111</v>
      </c>
      <c r="AB991" s="8"/>
    </row>
    <row r="992" spans="1:28" s="4" customFormat="1" ht="51.95" customHeight="1">
      <c r="A992" s="5">
        <v>0</v>
      </c>
      <c r="B992" s="6" t="s">
        <v>6440</v>
      </c>
      <c r="C992" s="7">
        <v>2260</v>
      </c>
      <c r="D992" s="8" t="s">
        <v>6441</v>
      </c>
      <c r="E992" s="8" t="s">
        <v>6431</v>
      </c>
      <c r="F992" s="8" t="s">
        <v>6442</v>
      </c>
      <c r="G992" s="6" t="s">
        <v>38</v>
      </c>
      <c r="H992" s="6" t="s">
        <v>54</v>
      </c>
      <c r="I992" s="8" t="s">
        <v>40</v>
      </c>
      <c r="J992" s="9">
        <v>1</v>
      </c>
      <c r="K992" s="9">
        <v>491</v>
      </c>
      <c r="L992" s="9">
        <v>2024</v>
      </c>
      <c r="M992" s="8" t="s">
        <v>6443</v>
      </c>
      <c r="N992" s="8" t="s">
        <v>56</v>
      </c>
      <c r="O992" s="8" t="s">
        <v>57</v>
      </c>
      <c r="P992" s="6" t="s">
        <v>58</v>
      </c>
      <c r="Q992" s="8" t="s">
        <v>45</v>
      </c>
      <c r="R992" s="10" t="s">
        <v>3080</v>
      </c>
      <c r="S992" s="11" t="s">
        <v>5408</v>
      </c>
      <c r="T992" s="6"/>
      <c r="U992" s="24" t="str">
        <f>HYPERLINK("https://media.infra-m.ru/2115/2115755/cover/2115755.jpg", "Обложка")</f>
        <v>Обложка</v>
      </c>
      <c r="V992" s="24" t="str">
        <f>HYPERLINK("https://znanium.ru/catalog/product/2115755", "Ознакомиться")</f>
        <v>Ознакомиться</v>
      </c>
      <c r="W992" s="8" t="s">
        <v>956</v>
      </c>
      <c r="X992" s="6"/>
      <c r="Y992" s="6"/>
      <c r="Z992" s="6"/>
      <c r="AA992" s="6" t="s">
        <v>111</v>
      </c>
      <c r="AB992" s="8"/>
    </row>
    <row r="993" spans="1:28" s="4" customFormat="1" ht="51.95" customHeight="1">
      <c r="A993" s="5">
        <v>0</v>
      </c>
      <c r="B993" s="6" t="s">
        <v>6444</v>
      </c>
      <c r="C993" s="13">
        <v>990</v>
      </c>
      <c r="D993" s="8" t="s">
        <v>6445</v>
      </c>
      <c r="E993" s="8" t="s">
        <v>6446</v>
      </c>
      <c r="F993" s="8" t="s">
        <v>6447</v>
      </c>
      <c r="G993" s="6" t="s">
        <v>90</v>
      </c>
      <c r="H993" s="6" t="s">
        <v>54</v>
      </c>
      <c r="I993" s="8" t="s">
        <v>40</v>
      </c>
      <c r="J993" s="9">
        <v>1</v>
      </c>
      <c r="K993" s="9">
        <v>215</v>
      </c>
      <c r="L993" s="9">
        <v>2024</v>
      </c>
      <c r="M993" s="8" t="s">
        <v>6448</v>
      </c>
      <c r="N993" s="8" t="s">
        <v>56</v>
      </c>
      <c r="O993" s="8" t="s">
        <v>57</v>
      </c>
      <c r="P993" s="6" t="s">
        <v>44</v>
      </c>
      <c r="Q993" s="8" t="s">
        <v>45</v>
      </c>
      <c r="R993" s="10" t="s">
        <v>6449</v>
      </c>
      <c r="S993" s="11" t="s">
        <v>6450</v>
      </c>
      <c r="T993" s="6"/>
      <c r="U993" s="24" t="str">
        <f>HYPERLINK("https://media.infra-m.ru/2127/2127878/cover/2127878.jpg", "Обложка")</f>
        <v>Обложка</v>
      </c>
      <c r="V993" s="24" t="str">
        <f>HYPERLINK("https://znanium.ru/catalog/product/2127878", "Ознакомиться")</f>
        <v>Ознакомиться</v>
      </c>
      <c r="W993" s="8" t="s">
        <v>2044</v>
      </c>
      <c r="X993" s="6"/>
      <c r="Y993" s="6"/>
      <c r="Z993" s="6"/>
      <c r="AA993" s="6" t="s">
        <v>223</v>
      </c>
      <c r="AB993" s="8"/>
    </row>
    <row r="994" spans="1:28" s="4" customFormat="1" ht="42" customHeight="1">
      <c r="A994" s="5">
        <v>0</v>
      </c>
      <c r="B994" s="6" t="s">
        <v>6451</v>
      </c>
      <c r="C994" s="7">
        <v>2799</v>
      </c>
      <c r="D994" s="8" t="s">
        <v>6452</v>
      </c>
      <c r="E994" s="8" t="s">
        <v>6453</v>
      </c>
      <c r="F994" s="8" t="s">
        <v>6454</v>
      </c>
      <c r="G994" s="6" t="s">
        <v>38</v>
      </c>
      <c r="H994" s="6" t="s">
        <v>54</v>
      </c>
      <c r="I994" s="8" t="s">
        <v>568</v>
      </c>
      <c r="J994" s="9">
        <v>1</v>
      </c>
      <c r="K994" s="9">
        <v>376</v>
      </c>
      <c r="L994" s="9">
        <v>2025</v>
      </c>
      <c r="M994" s="8" t="s">
        <v>6455</v>
      </c>
      <c r="N994" s="8" t="s">
        <v>56</v>
      </c>
      <c r="O994" s="8" t="s">
        <v>807</v>
      </c>
      <c r="P994" s="6" t="s">
        <v>44</v>
      </c>
      <c r="Q994" s="8" t="s">
        <v>45</v>
      </c>
      <c r="R994" s="10" t="s">
        <v>3015</v>
      </c>
      <c r="S994" s="11"/>
      <c r="T994" s="6"/>
      <c r="U994" s="24" t="str">
        <f>HYPERLINK("https://media.infra-m.ru/2169/2169863/cover/2169863.jpg", "Обложка")</f>
        <v>Обложка</v>
      </c>
      <c r="V994" s="24" t="str">
        <f>HYPERLINK("https://znanium.ru/catalog/product/2169863", "Ознакомиться")</f>
        <v>Ознакомиться</v>
      </c>
      <c r="W994" s="8" t="s">
        <v>1180</v>
      </c>
      <c r="X994" s="6" t="s">
        <v>367</v>
      </c>
      <c r="Y994" s="6"/>
      <c r="Z994" s="6" t="s">
        <v>48</v>
      </c>
      <c r="AA994" s="6" t="s">
        <v>84</v>
      </c>
      <c r="AB994" s="8"/>
    </row>
    <row r="995" spans="1:28" s="4" customFormat="1" ht="51.95" customHeight="1">
      <c r="A995" s="5">
        <v>0</v>
      </c>
      <c r="B995" s="6" t="s">
        <v>6456</v>
      </c>
      <c r="C995" s="7">
        <v>1794</v>
      </c>
      <c r="D995" s="8" t="s">
        <v>6457</v>
      </c>
      <c r="E995" s="8" t="s">
        <v>6458</v>
      </c>
      <c r="F995" s="8" t="s">
        <v>6459</v>
      </c>
      <c r="G995" s="6" t="s">
        <v>38</v>
      </c>
      <c r="H995" s="6" t="s">
        <v>54</v>
      </c>
      <c r="I995" s="8" t="s">
        <v>40</v>
      </c>
      <c r="J995" s="9">
        <v>1</v>
      </c>
      <c r="K995" s="9">
        <v>397</v>
      </c>
      <c r="L995" s="9">
        <v>2023</v>
      </c>
      <c r="M995" s="8" t="s">
        <v>6460</v>
      </c>
      <c r="N995" s="8" t="s">
        <v>125</v>
      </c>
      <c r="O995" s="8" t="s">
        <v>1630</v>
      </c>
      <c r="P995" s="6" t="s">
        <v>58</v>
      </c>
      <c r="Q995" s="8" t="s">
        <v>45</v>
      </c>
      <c r="R995" s="10" t="s">
        <v>6461</v>
      </c>
      <c r="S995" s="11" t="s">
        <v>6462</v>
      </c>
      <c r="T995" s="6"/>
      <c r="U995" s="24" t="str">
        <f>HYPERLINK("https://media.infra-m.ru/2021/2021443/cover/2021443.jpg", "Обложка")</f>
        <v>Обложка</v>
      </c>
      <c r="V995" s="24" t="str">
        <f>HYPERLINK("https://znanium.ru/catalog/product/961667", "Ознакомиться")</f>
        <v>Ознакомиться</v>
      </c>
      <c r="W995" s="8" t="s">
        <v>6463</v>
      </c>
      <c r="X995" s="6"/>
      <c r="Y995" s="6"/>
      <c r="Z995" s="6" t="s">
        <v>48</v>
      </c>
      <c r="AA995" s="6" t="s">
        <v>223</v>
      </c>
      <c r="AB995" s="8"/>
    </row>
    <row r="996" spans="1:28" s="4" customFormat="1" ht="51.95" customHeight="1">
      <c r="A996" s="5">
        <v>0</v>
      </c>
      <c r="B996" s="6" t="s">
        <v>6464</v>
      </c>
      <c r="C996" s="13">
        <v>970</v>
      </c>
      <c r="D996" s="8" t="s">
        <v>6465</v>
      </c>
      <c r="E996" s="8" t="s">
        <v>6466</v>
      </c>
      <c r="F996" s="8" t="s">
        <v>1954</v>
      </c>
      <c r="G996" s="6" t="s">
        <v>90</v>
      </c>
      <c r="H996" s="6" t="s">
        <v>54</v>
      </c>
      <c r="I996" s="8" t="s">
        <v>40</v>
      </c>
      <c r="J996" s="9">
        <v>1</v>
      </c>
      <c r="K996" s="9">
        <v>205</v>
      </c>
      <c r="L996" s="9">
        <v>2024</v>
      </c>
      <c r="M996" s="8" t="s">
        <v>6467</v>
      </c>
      <c r="N996" s="8" t="s">
        <v>125</v>
      </c>
      <c r="O996" s="8" t="s">
        <v>126</v>
      </c>
      <c r="P996" s="6" t="s">
        <v>44</v>
      </c>
      <c r="Q996" s="8" t="s">
        <v>45</v>
      </c>
      <c r="R996" s="10" t="s">
        <v>4321</v>
      </c>
      <c r="S996" s="11" t="s">
        <v>6468</v>
      </c>
      <c r="T996" s="6"/>
      <c r="U996" s="24" t="str">
        <f>HYPERLINK("https://media.infra-m.ru/2149/2149185/cover/2149185.jpg", "Обложка")</f>
        <v>Обложка</v>
      </c>
      <c r="V996" s="24" t="str">
        <f>HYPERLINK("https://znanium.ru/catalog/product/2149185", "Ознакомиться")</f>
        <v>Ознакомиться</v>
      </c>
      <c r="W996" s="8" t="s">
        <v>1958</v>
      </c>
      <c r="X996" s="6"/>
      <c r="Y996" s="6"/>
      <c r="Z996" s="6"/>
      <c r="AA996" s="6" t="s">
        <v>223</v>
      </c>
      <c r="AB996" s="8"/>
    </row>
    <row r="997" spans="1:28" s="4" customFormat="1" ht="51.95" customHeight="1">
      <c r="A997" s="5">
        <v>0</v>
      </c>
      <c r="B997" s="6" t="s">
        <v>6469</v>
      </c>
      <c r="C997" s="7">
        <v>1330</v>
      </c>
      <c r="D997" s="8" t="s">
        <v>6470</v>
      </c>
      <c r="E997" s="8" t="s">
        <v>6471</v>
      </c>
      <c r="F997" s="8" t="s">
        <v>6472</v>
      </c>
      <c r="G997" s="6" t="s">
        <v>90</v>
      </c>
      <c r="H997" s="6" t="s">
        <v>54</v>
      </c>
      <c r="I997" s="8" t="s">
        <v>40</v>
      </c>
      <c r="J997" s="9">
        <v>1</v>
      </c>
      <c r="K997" s="9">
        <v>249</v>
      </c>
      <c r="L997" s="9">
        <v>2026</v>
      </c>
      <c r="M997" s="8" t="s">
        <v>6473</v>
      </c>
      <c r="N997" s="8" t="s">
        <v>42</v>
      </c>
      <c r="O997" s="8" t="s">
        <v>187</v>
      </c>
      <c r="P997" s="6" t="s">
        <v>58</v>
      </c>
      <c r="Q997" s="8" t="s">
        <v>45</v>
      </c>
      <c r="R997" s="10" t="s">
        <v>6474</v>
      </c>
      <c r="S997" s="11" t="s">
        <v>6475</v>
      </c>
      <c r="T997" s="6"/>
      <c r="U997" s="24" t="str">
        <f>HYPERLINK("https://media.infra-m.ru/2218/2218701/cover/2218701.jpg", "Обложка")</f>
        <v>Обложка</v>
      </c>
      <c r="V997" s="24" t="str">
        <f>HYPERLINK("https://znanium.ru/catalog/product/2218701", "Ознакомиться")</f>
        <v>Ознакомиться</v>
      </c>
      <c r="W997" s="8" t="s">
        <v>190</v>
      </c>
      <c r="X997" s="6"/>
      <c r="Y997" s="6" t="s">
        <v>30</v>
      </c>
      <c r="Z997" s="6"/>
      <c r="AA997" s="6" t="s">
        <v>1526</v>
      </c>
      <c r="AB997" s="8"/>
    </row>
    <row r="998" spans="1:28" s="4" customFormat="1" ht="51.95" customHeight="1">
      <c r="A998" s="5">
        <v>0</v>
      </c>
      <c r="B998" s="6" t="s">
        <v>6476</v>
      </c>
      <c r="C998" s="7">
        <v>1494</v>
      </c>
      <c r="D998" s="8" t="s">
        <v>6477</v>
      </c>
      <c r="E998" s="8" t="s">
        <v>6478</v>
      </c>
      <c r="F998" s="8" t="s">
        <v>6479</v>
      </c>
      <c r="G998" s="6" t="s">
        <v>90</v>
      </c>
      <c r="H998" s="6" t="s">
        <v>39</v>
      </c>
      <c r="I998" s="8" t="s">
        <v>40</v>
      </c>
      <c r="J998" s="9">
        <v>1</v>
      </c>
      <c r="K998" s="9">
        <v>288</v>
      </c>
      <c r="L998" s="9">
        <v>2025</v>
      </c>
      <c r="M998" s="8" t="s">
        <v>6480</v>
      </c>
      <c r="N998" s="8" t="s">
        <v>42</v>
      </c>
      <c r="O998" s="8" t="s">
        <v>169</v>
      </c>
      <c r="P998" s="6" t="s">
        <v>58</v>
      </c>
      <c r="Q998" s="8" t="s">
        <v>45</v>
      </c>
      <c r="R998" s="10" t="s">
        <v>6481</v>
      </c>
      <c r="S998" s="11" t="s">
        <v>6482</v>
      </c>
      <c r="T998" s="6"/>
      <c r="U998" s="24" t="str">
        <f>HYPERLINK("https://media.infra-m.ru/2198/2198388/cover/2198388.jpg", "Обложка")</f>
        <v>Обложка</v>
      </c>
      <c r="V998" s="24" t="str">
        <f>HYPERLINK("https://znanium.ru/catalog/product/2188079", "Ознакомиться")</f>
        <v>Ознакомиться</v>
      </c>
      <c r="W998" s="8" t="s">
        <v>172</v>
      </c>
      <c r="X998" s="6"/>
      <c r="Y998" s="6" t="s">
        <v>30</v>
      </c>
      <c r="Z998" s="6" t="s">
        <v>48</v>
      </c>
      <c r="AA998" s="6" t="s">
        <v>129</v>
      </c>
      <c r="AB998" s="8"/>
    </row>
    <row r="999" spans="1:28" s="4" customFormat="1" ht="51.95" customHeight="1">
      <c r="A999" s="5">
        <v>0</v>
      </c>
      <c r="B999" s="6" t="s">
        <v>6483</v>
      </c>
      <c r="C999" s="7">
        <v>1710</v>
      </c>
      <c r="D999" s="8" t="s">
        <v>6484</v>
      </c>
      <c r="E999" s="8" t="s">
        <v>6485</v>
      </c>
      <c r="F999" s="8" t="s">
        <v>6479</v>
      </c>
      <c r="G999" s="6" t="s">
        <v>38</v>
      </c>
      <c r="H999" s="6" t="s">
        <v>39</v>
      </c>
      <c r="I999" s="8" t="s">
        <v>40</v>
      </c>
      <c r="J999" s="9">
        <v>1</v>
      </c>
      <c r="K999" s="9">
        <v>336</v>
      </c>
      <c r="L999" s="9">
        <v>2025</v>
      </c>
      <c r="M999" s="8" t="s">
        <v>6486</v>
      </c>
      <c r="N999" s="8" t="s">
        <v>42</v>
      </c>
      <c r="O999" s="8" t="s">
        <v>169</v>
      </c>
      <c r="P999" s="6" t="s">
        <v>58</v>
      </c>
      <c r="Q999" s="8" t="s">
        <v>45</v>
      </c>
      <c r="R999" s="10" t="s">
        <v>6487</v>
      </c>
      <c r="S999" s="11"/>
      <c r="T999" s="6"/>
      <c r="U999" s="24" t="str">
        <f>HYPERLINK("https://media.infra-m.ru/2172/2172172/cover/2172172.jpg", "Обложка")</f>
        <v>Обложка</v>
      </c>
      <c r="V999" s="24" t="str">
        <f>HYPERLINK("https://znanium.ru/catalog/product/2172172", "Ознакомиться")</f>
        <v>Ознакомиться</v>
      </c>
      <c r="W999" s="8" t="s">
        <v>172</v>
      </c>
      <c r="X999" s="6" t="s">
        <v>367</v>
      </c>
      <c r="Y999" s="6"/>
      <c r="Z999" s="6" t="s">
        <v>48</v>
      </c>
      <c r="AA999" s="6" t="s">
        <v>84</v>
      </c>
      <c r="AB999" s="8"/>
    </row>
    <row r="1000" spans="1:28" s="4" customFormat="1" ht="51.95" customHeight="1">
      <c r="A1000" s="5">
        <v>0</v>
      </c>
      <c r="B1000" s="6" t="s">
        <v>6488</v>
      </c>
      <c r="C1000" s="7">
        <v>1484.9</v>
      </c>
      <c r="D1000" s="8" t="s">
        <v>6489</v>
      </c>
      <c r="E1000" s="8" t="s">
        <v>6490</v>
      </c>
      <c r="F1000" s="8" t="s">
        <v>6491</v>
      </c>
      <c r="G1000" s="6" t="s">
        <v>38</v>
      </c>
      <c r="H1000" s="6" t="s">
        <v>54</v>
      </c>
      <c r="I1000" s="8" t="s">
        <v>40</v>
      </c>
      <c r="J1000" s="9">
        <v>1</v>
      </c>
      <c r="K1000" s="9">
        <v>392</v>
      </c>
      <c r="L1000" s="9">
        <v>2022</v>
      </c>
      <c r="M1000" s="8" t="s">
        <v>6492</v>
      </c>
      <c r="N1000" s="8" t="s">
        <v>42</v>
      </c>
      <c r="O1000" s="8" t="s">
        <v>1370</v>
      </c>
      <c r="P1000" s="6" t="s">
        <v>44</v>
      </c>
      <c r="Q1000" s="8" t="s">
        <v>45</v>
      </c>
      <c r="R1000" s="10" t="s">
        <v>6493</v>
      </c>
      <c r="S1000" s="11"/>
      <c r="T1000" s="6"/>
      <c r="U1000" s="24" t="str">
        <f>HYPERLINK("https://media.infra-m.ru/1851/1851444/cover/1851444.jpg", "Обложка")</f>
        <v>Обложка</v>
      </c>
      <c r="V1000" s="12"/>
      <c r="W1000" s="8" t="s">
        <v>6170</v>
      </c>
      <c r="X1000" s="6"/>
      <c r="Y1000" s="6" t="s">
        <v>30</v>
      </c>
      <c r="Z1000" s="6"/>
      <c r="AA1000" s="6" t="s">
        <v>696</v>
      </c>
      <c r="AB1000" s="8"/>
    </row>
    <row r="1001" spans="1:28" s="4" customFormat="1" ht="51.95" customHeight="1">
      <c r="A1001" s="5">
        <v>0</v>
      </c>
      <c r="B1001" s="6" t="s">
        <v>6494</v>
      </c>
      <c r="C1001" s="7">
        <v>1274</v>
      </c>
      <c r="D1001" s="8" t="s">
        <v>6495</v>
      </c>
      <c r="E1001" s="8" t="s">
        <v>6496</v>
      </c>
      <c r="F1001" s="8" t="s">
        <v>6497</v>
      </c>
      <c r="G1001" s="6" t="s">
        <v>90</v>
      </c>
      <c r="H1001" s="6" t="s">
        <v>299</v>
      </c>
      <c r="I1001" s="8" t="s">
        <v>1110</v>
      </c>
      <c r="J1001" s="9">
        <v>1</v>
      </c>
      <c r="K1001" s="9">
        <v>255</v>
      </c>
      <c r="L1001" s="9">
        <v>2025</v>
      </c>
      <c r="M1001" s="8" t="s">
        <v>6498</v>
      </c>
      <c r="N1001" s="8" t="s">
        <v>42</v>
      </c>
      <c r="O1001" s="8" t="s">
        <v>43</v>
      </c>
      <c r="P1001" s="6" t="s">
        <v>44</v>
      </c>
      <c r="Q1001" s="8" t="s">
        <v>45</v>
      </c>
      <c r="R1001" s="10" t="s">
        <v>6499</v>
      </c>
      <c r="S1001" s="11" t="s">
        <v>1909</v>
      </c>
      <c r="T1001" s="6"/>
      <c r="U1001" s="24" t="str">
        <f>HYPERLINK("https://media.infra-m.ru/2188/2188199/cover/2188199.jpg", "Обложка")</f>
        <v>Обложка</v>
      </c>
      <c r="V1001" s="24" t="str">
        <f>HYPERLINK("https://znanium.ru/catalog/product/1841781", "Ознакомиться")</f>
        <v>Ознакомиться</v>
      </c>
      <c r="W1001" s="8" t="s">
        <v>834</v>
      </c>
      <c r="X1001" s="6"/>
      <c r="Y1001" s="6"/>
      <c r="Z1001" s="6"/>
      <c r="AA1001" s="6" t="s">
        <v>988</v>
      </c>
      <c r="AB1001" s="8"/>
    </row>
    <row r="1002" spans="1:28" s="4" customFormat="1" ht="42" customHeight="1">
      <c r="A1002" s="5">
        <v>0</v>
      </c>
      <c r="B1002" s="6" t="s">
        <v>6500</v>
      </c>
      <c r="C1002" s="13">
        <v>740</v>
      </c>
      <c r="D1002" s="8" t="s">
        <v>6501</v>
      </c>
      <c r="E1002" s="8" t="s">
        <v>6502</v>
      </c>
      <c r="F1002" s="8" t="s">
        <v>6503</v>
      </c>
      <c r="G1002" s="6" t="s">
        <v>38</v>
      </c>
      <c r="H1002" s="6" t="s">
        <v>54</v>
      </c>
      <c r="I1002" s="8" t="s">
        <v>40</v>
      </c>
      <c r="J1002" s="9">
        <v>1</v>
      </c>
      <c r="K1002" s="9">
        <v>127</v>
      </c>
      <c r="L1002" s="9">
        <v>2025</v>
      </c>
      <c r="M1002" s="8" t="s">
        <v>6504</v>
      </c>
      <c r="N1002" s="8" t="s">
        <v>535</v>
      </c>
      <c r="O1002" s="8" t="s">
        <v>856</v>
      </c>
      <c r="P1002" s="6" t="s">
        <v>44</v>
      </c>
      <c r="Q1002" s="8" t="s">
        <v>45</v>
      </c>
      <c r="R1002" s="10" t="s">
        <v>3961</v>
      </c>
      <c r="S1002" s="11"/>
      <c r="T1002" s="6"/>
      <c r="U1002" s="24" t="str">
        <f>HYPERLINK("https://media.infra-m.ru/2175/2175113/cover/2175113.jpg", "Обложка")</f>
        <v>Обложка</v>
      </c>
      <c r="V1002" s="24" t="str">
        <f>HYPERLINK("https://znanium.ru/catalog/product/2175113", "Ознакомиться")</f>
        <v>Ознакомиться</v>
      </c>
      <c r="W1002" s="8" t="s">
        <v>3943</v>
      </c>
      <c r="X1002" s="6" t="s">
        <v>367</v>
      </c>
      <c r="Y1002" s="6"/>
      <c r="Z1002" s="6" t="s">
        <v>48</v>
      </c>
      <c r="AA1002" s="6" t="s">
        <v>231</v>
      </c>
      <c r="AB1002" s="8"/>
    </row>
    <row r="1003" spans="1:28" s="4" customFormat="1" ht="51.95" customHeight="1">
      <c r="A1003" s="5">
        <v>0</v>
      </c>
      <c r="B1003" s="6" t="s">
        <v>6505</v>
      </c>
      <c r="C1003" s="7">
        <v>1764</v>
      </c>
      <c r="D1003" s="8" t="s">
        <v>6506</v>
      </c>
      <c r="E1003" s="8" t="s">
        <v>6507</v>
      </c>
      <c r="F1003" s="8" t="s">
        <v>1578</v>
      </c>
      <c r="G1003" s="6" t="s">
        <v>38</v>
      </c>
      <c r="H1003" s="6" t="s">
        <v>39</v>
      </c>
      <c r="I1003" s="8" t="s">
        <v>69</v>
      </c>
      <c r="J1003" s="9">
        <v>1</v>
      </c>
      <c r="K1003" s="9">
        <v>352</v>
      </c>
      <c r="L1003" s="9">
        <v>2025</v>
      </c>
      <c r="M1003" s="8" t="s">
        <v>6508</v>
      </c>
      <c r="N1003" s="8" t="s">
        <v>535</v>
      </c>
      <c r="O1003" s="8" t="s">
        <v>856</v>
      </c>
      <c r="P1003" s="6" t="s">
        <v>44</v>
      </c>
      <c r="Q1003" s="8" t="s">
        <v>45</v>
      </c>
      <c r="R1003" s="10" t="s">
        <v>6509</v>
      </c>
      <c r="S1003" s="11" t="s">
        <v>6510</v>
      </c>
      <c r="T1003" s="6"/>
      <c r="U1003" s="24" t="str">
        <f>HYPERLINK("https://media.infra-m.ru/2185/2185901/cover/2185901.jpg", "Обложка")</f>
        <v>Обложка</v>
      </c>
      <c r="V1003" s="24" t="str">
        <f>HYPERLINK("https://znanium.ru/catalog/product/1362444", "Ознакомиться")</f>
        <v>Ознакомиться</v>
      </c>
      <c r="W1003" s="8" t="s">
        <v>1581</v>
      </c>
      <c r="X1003" s="6"/>
      <c r="Y1003" s="6" t="s">
        <v>30</v>
      </c>
      <c r="Z1003" s="6"/>
      <c r="AA1003" s="6" t="s">
        <v>891</v>
      </c>
      <c r="AB1003" s="8"/>
    </row>
    <row r="1004" spans="1:28" s="4" customFormat="1" ht="51.95" customHeight="1">
      <c r="A1004" s="5">
        <v>0</v>
      </c>
      <c r="B1004" s="6" t="s">
        <v>6511</v>
      </c>
      <c r="C1004" s="13">
        <v>810</v>
      </c>
      <c r="D1004" s="8" t="s">
        <v>6512</v>
      </c>
      <c r="E1004" s="8" t="s">
        <v>6513</v>
      </c>
      <c r="F1004" s="8" t="s">
        <v>6514</v>
      </c>
      <c r="G1004" s="6" t="s">
        <v>90</v>
      </c>
      <c r="H1004" s="6" t="s">
        <v>54</v>
      </c>
      <c r="I1004" s="8" t="s">
        <v>40</v>
      </c>
      <c r="J1004" s="9">
        <v>1</v>
      </c>
      <c r="K1004" s="9">
        <v>143</v>
      </c>
      <c r="L1004" s="9">
        <v>2026</v>
      </c>
      <c r="M1004" s="8" t="s">
        <v>6515</v>
      </c>
      <c r="N1004" s="8" t="s">
        <v>42</v>
      </c>
      <c r="O1004" s="8" t="s">
        <v>187</v>
      </c>
      <c r="P1004" s="6" t="s">
        <v>44</v>
      </c>
      <c r="Q1004" s="8" t="s">
        <v>45</v>
      </c>
      <c r="R1004" s="10" t="s">
        <v>6516</v>
      </c>
      <c r="S1004" s="11" t="s">
        <v>6517</v>
      </c>
      <c r="T1004" s="6"/>
      <c r="U1004" s="24" t="str">
        <f>HYPERLINK("https://media.infra-m.ru/2216/2216321/cover/2216321.jpg", "Обложка")</f>
        <v>Обложка</v>
      </c>
      <c r="V1004" s="24" t="str">
        <f>HYPERLINK("https://znanium.ru/catalog/product/2216321", "Ознакомиться")</f>
        <v>Ознакомиться</v>
      </c>
      <c r="W1004" s="8" t="s">
        <v>180</v>
      </c>
      <c r="X1004" s="6"/>
      <c r="Y1004" s="6"/>
      <c r="Z1004" s="6"/>
      <c r="AA1004" s="6" t="s">
        <v>1526</v>
      </c>
      <c r="AB1004" s="8"/>
    </row>
    <row r="1005" spans="1:28" s="4" customFormat="1" ht="51.95" customHeight="1">
      <c r="A1005" s="5">
        <v>0</v>
      </c>
      <c r="B1005" s="6" t="s">
        <v>6518</v>
      </c>
      <c r="C1005" s="7">
        <v>1997</v>
      </c>
      <c r="D1005" s="8" t="s">
        <v>6519</v>
      </c>
      <c r="E1005" s="8" t="s">
        <v>6520</v>
      </c>
      <c r="F1005" s="8" t="s">
        <v>6521</v>
      </c>
      <c r="G1005" s="6" t="s">
        <v>90</v>
      </c>
      <c r="H1005" s="6" t="s">
        <v>54</v>
      </c>
      <c r="I1005" s="8" t="s">
        <v>40</v>
      </c>
      <c r="J1005" s="9">
        <v>1</v>
      </c>
      <c r="K1005" s="9">
        <v>309</v>
      </c>
      <c r="L1005" s="9">
        <v>2025</v>
      </c>
      <c r="M1005" s="8" t="s">
        <v>6522</v>
      </c>
      <c r="N1005" s="8" t="s">
        <v>42</v>
      </c>
      <c r="O1005" s="8" t="s">
        <v>169</v>
      </c>
      <c r="P1005" s="6" t="s">
        <v>44</v>
      </c>
      <c r="Q1005" s="8" t="s">
        <v>45</v>
      </c>
      <c r="R1005" s="10" t="s">
        <v>6523</v>
      </c>
      <c r="S1005" s="11" t="s">
        <v>6524</v>
      </c>
      <c r="T1005" s="6"/>
      <c r="U1005" s="24" t="str">
        <f>HYPERLINK("https://media.infra-m.ru/2168/2168381/cover/2168381.jpg", "Обложка")</f>
        <v>Обложка</v>
      </c>
      <c r="V1005" s="24" t="str">
        <f>HYPERLINK("https://znanium.ru/catalog/product/1895656", "Ознакомиться")</f>
        <v>Ознакомиться</v>
      </c>
      <c r="W1005" s="8" t="s">
        <v>1223</v>
      </c>
      <c r="X1005" s="6"/>
      <c r="Y1005" s="6"/>
      <c r="Z1005" s="6" t="s">
        <v>48</v>
      </c>
      <c r="AA1005" s="6" t="s">
        <v>223</v>
      </c>
      <c r="AB1005" s="8"/>
    </row>
    <row r="1006" spans="1:28" s="4" customFormat="1" ht="51.95" customHeight="1">
      <c r="A1006" s="5">
        <v>0</v>
      </c>
      <c r="B1006" s="6" t="s">
        <v>6525</v>
      </c>
      <c r="C1006" s="7">
        <v>1030</v>
      </c>
      <c r="D1006" s="8" t="s">
        <v>6526</v>
      </c>
      <c r="E1006" s="8" t="s">
        <v>6527</v>
      </c>
      <c r="F1006" s="8" t="s">
        <v>6528</v>
      </c>
      <c r="G1006" s="6" t="s">
        <v>90</v>
      </c>
      <c r="H1006" s="6" t="s">
        <v>54</v>
      </c>
      <c r="I1006" s="8" t="s">
        <v>40</v>
      </c>
      <c r="J1006" s="9">
        <v>1</v>
      </c>
      <c r="K1006" s="9">
        <v>197</v>
      </c>
      <c r="L1006" s="9">
        <v>2025</v>
      </c>
      <c r="M1006" s="8" t="s">
        <v>6529</v>
      </c>
      <c r="N1006" s="8" t="s">
        <v>1306</v>
      </c>
      <c r="O1006" s="8" t="s">
        <v>1307</v>
      </c>
      <c r="P1006" s="6" t="s">
        <v>58</v>
      </c>
      <c r="Q1006" s="8" t="s">
        <v>45</v>
      </c>
      <c r="R1006" s="10" t="s">
        <v>6530</v>
      </c>
      <c r="S1006" s="11" t="s">
        <v>6531</v>
      </c>
      <c r="T1006" s="6"/>
      <c r="U1006" s="24" t="str">
        <f>HYPERLINK("https://media.infra-m.ru/2187/2187648/cover/2187648.jpg", "Обложка")</f>
        <v>Обложка</v>
      </c>
      <c r="V1006" s="24" t="str">
        <f>HYPERLINK("https://znanium.ru/catalog/product/2187648", "Ознакомиться")</f>
        <v>Ознакомиться</v>
      </c>
      <c r="W1006" s="8" t="s">
        <v>1560</v>
      </c>
      <c r="X1006" s="6"/>
      <c r="Y1006" s="6"/>
      <c r="Z1006" s="6"/>
      <c r="AA1006" s="6" t="s">
        <v>223</v>
      </c>
      <c r="AB1006" s="8"/>
    </row>
    <row r="1007" spans="1:28" s="4" customFormat="1" ht="51.95" customHeight="1">
      <c r="A1007" s="5">
        <v>0</v>
      </c>
      <c r="B1007" s="6" t="s">
        <v>6532</v>
      </c>
      <c r="C1007" s="7">
        <v>1354.9</v>
      </c>
      <c r="D1007" s="8" t="s">
        <v>6533</v>
      </c>
      <c r="E1007" s="8" t="s">
        <v>6534</v>
      </c>
      <c r="F1007" s="8" t="s">
        <v>6535</v>
      </c>
      <c r="G1007" s="6" t="s">
        <v>90</v>
      </c>
      <c r="H1007" s="6" t="s">
        <v>299</v>
      </c>
      <c r="I1007" s="8" t="s">
        <v>40</v>
      </c>
      <c r="J1007" s="9">
        <v>1</v>
      </c>
      <c r="K1007" s="9">
        <v>301</v>
      </c>
      <c r="L1007" s="9">
        <v>2023</v>
      </c>
      <c r="M1007" s="8" t="s">
        <v>6536</v>
      </c>
      <c r="N1007" s="8" t="s">
        <v>125</v>
      </c>
      <c r="O1007" s="8" t="s">
        <v>352</v>
      </c>
      <c r="P1007" s="6" t="s">
        <v>58</v>
      </c>
      <c r="Q1007" s="8" t="s">
        <v>45</v>
      </c>
      <c r="R1007" s="10" t="s">
        <v>108</v>
      </c>
      <c r="S1007" s="11" t="s">
        <v>6537</v>
      </c>
      <c r="T1007" s="6"/>
      <c r="U1007" s="24" t="str">
        <f>HYPERLINK("https://media.infra-m.ru/1893/1893948/cover/1893948.jpg", "Обложка")</f>
        <v>Обложка</v>
      </c>
      <c r="V1007" s="24" t="str">
        <f>HYPERLINK("https://znanium.ru/catalog/product/2107419", "Ознакомиться")</f>
        <v>Ознакомиться</v>
      </c>
      <c r="W1007" s="8" t="s">
        <v>1681</v>
      </c>
      <c r="X1007" s="6"/>
      <c r="Y1007" s="6"/>
      <c r="Z1007" s="6" t="s">
        <v>48</v>
      </c>
      <c r="AA1007" s="6" t="s">
        <v>74</v>
      </c>
      <c r="AB1007" s="8"/>
    </row>
    <row r="1008" spans="1:28" s="4" customFormat="1" ht="51.95" customHeight="1">
      <c r="A1008" s="5">
        <v>0</v>
      </c>
      <c r="B1008" s="6" t="s">
        <v>6538</v>
      </c>
      <c r="C1008" s="7">
        <v>1390</v>
      </c>
      <c r="D1008" s="8" t="s">
        <v>6539</v>
      </c>
      <c r="E1008" s="8" t="s">
        <v>6540</v>
      </c>
      <c r="F1008" s="8" t="s">
        <v>6535</v>
      </c>
      <c r="G1008" s="6" t="s">
        <v>90</v>
      </c>
      <c r="H1008" s="6" t="s">
        <v>54</v>
      </c>
      <c r="I1008" s="8" t="s">
        <v>40</v>
      </c>
      <c r="J1008" s="9">
        <v>1</v>
      </c>
      <c r="K1008" s="9">
        <v>291</v>
      </c>
      <c r="L1008" s="9">
        <v>2024</v>
      </c>
      <c r="M1008" s="8" t="s">
        <v>6541</v>
      </c>
      <c r="N1008" s="8" t="s">
        <v>125</v>
      </c>
      <c r="O1008" s="8" t="s">
        <v>352</v>
      </c>
      <c r="P1008" s="6" t="s">
        <v>58</v>
      </c>
      <c r="Q1008" s="8" t="s">
        <v>45</v>
      </c>
      <c r="R1008" s="10" t="s">
        <v>108</v>
      </c>
      <c r="S1008" s="11" t="s">
        <v>6537</v>
      </c>
      <c r="T1008" s="6"/>
      <c r="U1008" s="24" t="str">
        <f>HYPERLINK("https://media.infra-m.ru/2107/2107419/cover/2107419.jpg", "Обложка")</f>
        <v>Обложка</v>
      </c>
      <c r="V1008" s="24" t="str">
        <f>HYPERLINK("https://znanium.ru/catalog/product/2107419", "Ознакомиться")</f>
        <v>Ознакомиться</v>
      </c>
      <c r="W1008" s="8" t="s">
        <v>1681</v>
      </c>
      <c r="X1008" s="6"/>
      <c r="Y1008" s="6"/>
      <c r="Z1008" s="6" t="s">
        <v>48</v>
      </c>
      <c r="AA1008" s="6" t="s">
        <v>2953</v>
      </c>
      <c r="AB1008" s="8"/>
    </row>
    <row r="1009" spans="1:28" s="4" customFormat="1" ht="51.95" customHeight="1">
      <c r="A1009" s="5">
        <v>0</v>
      </c>
      <c r="B1009" s="6" t="s">
        <v>6542</v>
      </c>
      <c r="C1009" s="7">
        <v>1014</v>
      </c>
      <c r="D1009" s="8" t="s">
        <v>6543</v>
      </c>
      <c r="E1009" s="8" t="s">
        <v>6544</v>
      </c>
      <c r="F1009" s="8" t="s">
        <v>6545</v>
      </c>
      <c r="G1009" s="6" t="s">
        <v>90</v>
      </c>
      <c r="H1009" s="6" t="s">
        <v>54</v>
      </c>
      <c r="I1009" s="8" t="s">
        <v>40</v>
      </c>
      <c r="J1009" s="9">
        <v>1</v>
      </c>
      <c r="K1009" s="9">
        <v>202</v>
      </c>
      <c r="L1009" s="9">
        <v>2025</v>
      </c>
      <c r="M1009" s="8" t="s">
        <v>6546</v>
      </c>
      <c r="N1009" s="8" t="s">
        <v>125</v>
      </c>
      <c r="O1009" s="8" t="s">
        <v>126</v>
      </c>
      <c r="P1009" s="6" t="s">
        <v>58</v>
      </c>
      <c r="Q1009" s="8" t="s">
        <v>45</v>
      </c>
      <c r="R1009" s="10" t="s">
        <v>6547</v>
      </c>
      <c r="S1009" s="11" t="s">
        <v>6548</v>
      </c>
      <c r="T1009" s="6"/>
      <c r="U1009" s="24" t="str">
        <f>HYPERLINK("https://media.infra-m.ru/2179/2179096/cover/2179096.jpg", "Обложка")</f>
        <v>Обложка</v>
      </c>
      <c r="V1009" s="24" t="str">
        <f>HYPERLINK("https://znanium.ru/catalog/product/1241803", "Ознакомиться")</f>
        <v>Ознакомиться</v>
      </c>
      <c r="W1009" s="8" t="s">
        <v>3241</v>
      </c>
      <c r="X1009" s="6"/>
      <c r="Y1009" s="6"/>
      <c r="Z1009" s="6" t="s">
        <v>48</v>
      </c>
      <c r="AA1009" s="6" t="s">
        <v>740</v>
      </c>
      <c r="AB1009" s="8"/>
    </row>
    <row r="1010" spans="1:28" s="4" customFormat="1" ht="51.95" customHeight="1">
      <c r="A1010" s="5">
        <v>0</v>
      </c>
      <c r="B1010" s="6" t="s">
        <v>6549</v>
      </c>
      <c r="C1010" s="7">
        <v>1080</v>
      </c>
      <c r="D1010" s="8" t="s">
        <v>6550</v>
      </c>
      <c r="E1010" s="8" t="s">
        <v>6551</v>
      </c>
      <c r="F1010" s="8" t="s">
        <v>308</v>
      </c>
      <c r="G1010" s="6" t="s">
        <v>90</v>
      </c>
      <c r="H1010" s="6" t="s">
        <v>54</v>
      </c>
      <c r="I1010" s="8" t="s">
        <v>40</v>
      </c>
      <c r="J1010" s="9">
        <v>1</v>
      </c>
      <c r="K1010" s="9">
        <v>207</v>
      </c>
      <c r="L1010" s="9">
        <v>2026</v>
      </c>
      <c r="M1010" s="8" t="s">
        <v>6552</v>
      </c>
      <c r="N1010" s="8" t="s">
        <v>42</v>
      </c>
      <c r="O1010" s="8" t="s">
        <v>243</v>
      </c>
      <c r="P1010" s="6" t="s">
        <v>44</v>
      </c>
      <c r="Q1010" s="8" t="s">
        <v>45</v>
      </c>
      <c r="R1010" s="10" t="s">
        <v>6553</v>
      </c>
      <c r="S1010" s="11" t="s">
        <v>6554</v>
      </c>
      <c r="T1010" s="6"/>
      <c r="U1010" s="24" t="str">
        <f>HYPERLINK("https://media.infra-m.ru/2213/2213294/cover/2213294.jpg", "Обложка")</f>
        <v>Обложка</v>
      </c>
      <c r="V1010" s="24" t="str">
        <f>HYPERLINK("https://znanium.ru/catalog/product/2213294", "Ознакомиться")</f>
        <v>Ознакомиться</v>
      </c>
      <c r="W1010" s="8" t="s">
        <v>312</v>
      </c>
      <c r="X1010" s="6"/>
      <c r="Y1010" s="6"/>
      <c r="Z1010" s="6"/>
      <c r="AA1010" s="6" t="s">
        <v>278</v>
      </c>
      <c r="AB1010" s="8"/>
    </row>
    <row r="1011" spans="1:28" s="4" customFormat="1" ht="51.95" customHeight="1">
      <c r="A1011" s="5">
        <v>0</v>
      </c>
      <c r="B1011" s="6" t="s">
        <v>6555</v>
      </c>
      <c r="C1011" s="7">
        <v>2264</v>
      </c>
      <c r="D1011" s="8" t="s">
        <v>6556</v>
      </c>
      <c r="E1011" s="8" t="s">
        <v>6557</v>
      </c>
      <c r="F1011" s="8" t="s">
        <v>3062</v>
      </c>
      <c r="G1011" s="6" t="s">
        <v>90</v>
      </c>
      <c r="H1011" s="6" t="s">
        <v>39</v>
      </c>
      <c r="I1011" s="8" t="s">
        <v>69</v>
      </c>
      <c r="J1011" s="9">
        <v>1</v>
      </c>
      <c r="K1011" s="9">
        <v>432</v>
      </c>
      <c r="L1011" s="9">
        <v>2026</v>
      </c>
      <c r="M1011" s="8" t="s">
        <v>6558</v>
      </c>
      <c r="N1011" s="8" t="s">
        <v>42</v>
      </c>
      <c r="O1011" s="8" t="s">
        <v>553</v>
      </c>
      <c r="P1011" s="6" t="s">
        <v>44</v>
      </c>
      <c r="Q1011" s="8" t="s">
        <v>45</v>
      </c>
      <c r="R1011" s="10" t="s">
        <v>6559</v>
      </c>
      <c r="S1011" s="11" t="s">
        <v>1391</v>
      </c>
      <c r="T1011" s="6"/>
      <c r="U1011" s="24" t="str">
        <f>HYPERLINK("https://media.infra-m.ru/2220/2220953/cover/2220953.jpg", "Обложка")</f>
        <v>Обложка</v>
      </c>
      <c r="V1011" s="24" t="str">
        <f>HYPERLINK("https://znanium.ru/catalog/product/1893798", "Ознакомиться")</f>
        <v>Ознакомиться</v>
      </c>
      <c r="W1011" s="8" t="s">
        <v>3066</v>
      </c>
      <c r="X1011" s="6"/>
      <c r="Y1011" s="6"/>
      <c r="Z1011" s="6"/>
      <c r="AA1011" s="6" t="s">
        <v>2161</v>
      </c>
      <c r="AB1011" s="8"/>
    </row>
    <row r="1012" spans="1:28" s="4" customFormat="1" ht="51.95" customHeight="1">
      <c r="A1012" s="5">
        <v>0</v>
      </c>
      <c r="B1012" s="6" t="s">
        <v>6560</v>
      </c>
      <c r="C1012" s="7">
        <v>2994</v>
      </c>
      <c r="D1012" s="8" t="s">
        <v>6561</v>
      </c>
      <c r="E1012" s="8" t="s">
        <v>6562</v>
      </c>
      <c r="F1012" s="8" t="s">
        <v>6563</v>
      </c>
      <c r="G1012" s="6" t="s">
        <v>38</v>
      </c>
      <c r="H1012" s="6" t="s">
        <v>39</v>
      </c>
      <c r="I1012" s="8" t="s">
        <v>69</v>
      </c>
      <c r="J1012" s="9">
        <v>1</v>
      </c>
      <c r="K1012" s="9">
        <v>543</v>
      </c>
      <c r="L1012" s="9">
        <v>2026</v>
      </c>
      <c r="M1012" s="8" t="s">
        <v>6564</v>
      </c>
      <c r="N1012" s="8" t="s">
        <v>42</v>
      </c>
      <c r="O1012" s="8" t="s">
        <v>553</v>
      </c>
      <c r="P1012" s="6" t="s">
        <v>44</v>
      </c>
      <c r="Q1012" s="8" t="s">
        <v>45</v>
      </c>
      <c r="R1012" s="10" t="s">
        <v>1915</v>
      </c>
      <c r="S1012" s="11" t="s">
        <v>3286</v>
      </c>
      <c r="T1012" s="6"/>
      <c r="U1012" s="24" t="str">
        <f>HYPERLINK("https://media.infra-m.ru/2226/2226080/cover/2226080.jpg", "Обложка")</f>
        <v>Обложка</v>
      </c>
      <c r="V1012" s="24" t="str">
        <f>HYPERLINK("https://znanium.ru/catalog/product/2216340", "Ознакомиться")</f>
        <v>Ознакомиться</v>
      </c>
      <c r="W1012" s="8" t="s">
        <v>3066</v>
      </c>
      <c r="X1012" s="6"/>
      <c r="Y1012" s="6"/>
      <c r="Z1012" s="6"/>
      <c r="AA1012" s="6" t="s">
        <v>5050</v>
      </c>
      <c r="AB1012" s="8"/>
    </row>
    <row r="1013" spans="1:28" s="4" customFormat="1" ht="51.95" customHeight="1">
      <c r="A1013" s="5">
        <v>0</v>
      </c>
      <c r="B1013" s="6" t="s">
        <v>6565</v>
      </c>
      <c r="C1013" s="7">
        <v>1204</v>
      </c>
      <c r="D1013" s="8" t="s">
        <v>6566</v>
      </c>
      <c r="E1013" s="8" t="s">
        <v>6567</v>
      </c>
      <c r="F1013" s="8" t="s">
        <v>6568</v>
      </c>
      <c r="G1013" s="6" t="s">
        <v>38</v>
      </c>
      <c r="H1013" s="6" t="s">
        <v>68</v>
      </c>
      <c r="I1013" s="8" t="s">
        <v>1110</v>
      </c>
      <c r="J1013" s="9">
        <v>1</v>
      </c>
      <c r="K1013" s="9">
        <v>256</v>
      </c>
      <c r="L1013" s="9">
        <v>2024</v>
      </c>
      <c r="M1013" s="8" t="s">
        <v>6569</v>
      </c>
      <c r="N1013" s="8" t="s">
        <v>42</v>
      </c>
      <c r="O1013" s="8" t="s">
        <v>553</v>
      </c>
      <c r="P1013" s="6" t="s">
        <v>44</v>
      </c>
      <c r="Q1013" s="8" t="s">
        <v>45</v>
      </c>
      <c r="R1013" s="10" t="s">
        <v>6570</v>
      </c>
      <c r="S1013" s="11" t="s">
        <v>6571</v>
      </c>
      <c r="T1013" s="6"/>
      <c r="U1013" s="24" t="str">
        <f>HYPERLINK("https://media.infra-m.ru/2130/2130081/cover/2130081.jpg", "Обложка")</f>
        <v>Обложка</v>
      </c>
      <c r="V1013" s="24" t="str">
        <f>HYPERLINK("https://znanium.ru/catalog/product/1058462", "Ознакомиться")</f>
        <v>Ознакомиться</v>
      </c>
      <c r="W1013" s="8"/>
      <c r="X1013" s="6"/>
      <c r="Y1013" s="6"/>
      <c r="Z1013" s="6"/>
      <c r="AA1013" s="6" t="s">
        <v>1644</v>
      </c>
      <c r="AB1013" s="8"/>
    </row>
    <row r="1014" spans="1:28" s="4" customFormat="1" ht="51.95" customHeight="1">
      <c r="A1014" s="5">
        <v>0</v>
      </c>
      <c r="B1014" s="6" t="s">
        <v>6572</v>
      </c>
      <c r="C1014" s="13">
        <v>610</v>
      </c>
      <c r="D1014" s="8" t="s">
        <v>6573</v>
      </c>
      <c r="E1014" s="8" t="s">
        <v>6574</v>
      </c>
      <c r="F1014" s="8" t="s">
        <v>6575</v>
      </c>
      <c r="G1014" s="6" t="s">
        <v>67</v>
      </c>
      <c r="H1014" s="6" t="s">
        <v>54</v>
      </c>
      <c r="I1014" s="8" t="s">
        <v>40</v>
      </c>
      <c r="J1014" s="9">
        <v>1</v>
      </c>
      <c r="K1014" s="9">
        <v>122</v>
      </c>
      <c r="L1014" s="9">
        <v>2025</v>
      </c>
      <c r="M1014" s="8" t="s">
        <v>6576</v>
      </c>
      <c r="N1014" s="8" t="s">
        <v>42</v>
      </c>
      <c r="O1014" s="8" t="s">
        <v>219</v>
      </c>
      <c r="P1014" s="6" t="s">
        <v>44</v>
      </c>
      <c r="Q1014" s="8" t="s">
        <v>45</v>
      </c>
      <c r="R1014" s="10" t="s">
        <v>6577</v>
      </c>
      <c r="S1014" s="11" t="s">
        <v>6578</v>
      </c>
      <c r="T1014" s="6" t="s">
        <v>118</v>
      </c>
      <c r="U1014" s="24" t="str">
        <f>HYPERLINK("https://media.infra-m.ru/2177/2177862/cover/2177862.jpg", "Обложка")</f>
        <v>Обложка</v>
      </c>
      <c r="V1014" s="24" t="str">
        <f>HYPERLINK("https://znanium.ru/catalog/product/2177862", "Ознакомиться")</f>
        <v>Ознакомиться</v>
      </c>
      <c r="W1014" s="8" t="s">
        <v>172</v>
      </c>
      <c r="X1014" s="6"/>
      <c r="Y1014" s="6"/>
      <c r="Z1014" s="6" t="s">
        <v>48</v>
      </c>
      <c r="AA1014" s="6" t="s">
        <v>223</v>
      </c>
      <c r="AB1014" s="8"/>
    </row>
    <row r="1015" spans="1:28" s="4" customFormat="1" ht="51.95" customHeight="1">
      <c r="A1015" s="5">
        <v>0</v>
      </c>
      <c r="B1015" s="6" t="s">
        <v>6579</v>
      </c>
      <c r="C1015" s="7">
        <v>1680</v>
      </c>
      <c r="D1015" s="8" t="s">
        <v>6580</v>
      </c>
      <c r="E1015" s="8" t="s">
        <v>6581</v>
      </c>
      <c r="F1015" s="8" t="s">
        <v>6582</v>
      </c>
      <c r="G1015" s="6" t="s">
        <v>90</v>
      </c>
      <c r="H1015" s="6" t="s">
        <v>54</v>
      </c>
      <c r="I1015" s="8" t="s">
        <v>40</v>
      </c>
      <c r="J1015" s="9">
        <v>1</v>
      </c>
      <c r="K1015" s="9">
        <v>336</v>
      </c>
      <c r="L1015" s="9">
        <v>2025</v>
      </c>
      <c r="M1015" s="8" t="s">
        <v>6583</v>
      </c>
      <c r="N1015" s="8" t="s">
        <v>42</v>
      </c>
      <c r="O1015" s="8" t="s">
        <v>553</v>
      </c>
      <c r="P1015" s="6" t="s">
        <v>44</v>
      </c>
      <c r="Q1015" s="8" t="s">
        <v>45</v>
      </c>
      <c r="R1015" s="10" t="s">
        <v>6584</v>
      </c>
      <c r="S1015" s="11" t="s">
        <v>6585</v>
      </c>
      <c r="T1015" s="6"/>
      <c r="U1015" s="24" t="str">
        <f>HYPERLINK("https://media.infra-m.ru/2185/2185121/cover/2185121.jpg", "Обложка")</f>
        <v>Обложка</v>
      </c>
      <c r="V1015" s="24" t="str">
        <f>HYPERLINK("https://znanium.ru/catalog/product/2185121", "Ознакомиться")</f>
        <v>Ознакомиться</v>
      </c>
      <c r="W1015" s="8" t="s">
        <v>4249</v>
      </c>
      <c r="X1015" s="6"/>
      <c r="Y1015" s="6"/>
      <c r="Z1015" s="6"/>
      <c r="AA1015" s="6" t="s">
        <v>1518</v>
      </c>
      <c r="AB1015" s="8"/>
    </row>
    <row r="1016" spans="1:28" s="4" customFormat="1" ht="51.95" customHeight="1">
      <c r="A1016" s="5">
        <v>0</v>
      </c>
      <c r="B1016" s="6" t="s">
        <v>6586</v>
      </c>
      <c r="C1016" s="13">
        <v>790</v>
      </c>
      <c r="D1016" s="8" t="s">
        <v>6587</v>
      </c>
      <c r="E1016" s="8" t="s">
        <v>6588</v>
      </c>
      <c r="F1016" s="8" t="s">
        <v>6589</v>
      </c>
      <c r="G1016" s="6" t="s">
        <v>90</v>
      </c>
      <c r="H1016" s="6" t="s">
        <v>54</v>
      </c>
      <c r="I1016" s="8" t="s">
        <v>40</v>
      </c>
      <c r="J1016" s="9">
        <v>1</v>
      </c>
      <c r="K1016" s="9">
        <v>174</v>
      </c>
      <c r="L1016" s="9">
        <v>2023</v>
      </c>
      <c r="M1016" s="8" t="s">
        <v>6590</v>
      </c>
      <c r="N1016" s="8" t="s">
        <v>1306</v>
      </c>
      <c r="O1016" s="8" t="s">
        <v>1307</v>
      </c>
      <c r="P1016" s="6" t="s">
        <v>44</v>
      </c>
      <c r="Q1016" s="8" t="s">
        <v>45</v>
      </c>
      <c r="R1016" s="10" t="s">
        <v>6591</v>
      </c>
      <c r="S1016" s="11" t="s">
        <v>6592</v>
      </c>
      <c r="T1016" s="6"/>
      <c r="U1016" s="24" t="str">
        <f>HYPERLINK("https://media.infra-m.ru/1991/1991866/cover/1991866.jpg", "Обложка")</f>
        <v>Обложка</v>
      </c>
      <c r="V1016" s="24" t="str">
        <f>HYPERLINK("https://znanium.ru/catalog/product/1991866", "Ознакомиться")</f>
        <v>Ознакомиться</v>
      </c>
      <c r="W1016" s="8" t="s">
        <v>956</v>
      </c>
      <c r="X1016" s="6"/>
      <c r="Y1016" s="6"/>
      <c r="Z1016" s="6" t="s">
        <v>48</v>
      </c>
      <c r="AA1016" s="6" t="s">
        <v>1027</v>
      </c>
      <c r="AB1016" s="8"/>
    </row>
    <row r="1017" spans="1:28" s="4" customFormat="1" ht="51.95" customHeight="1">
      <c r="A1017" s="5">
        <v>0</v>
      </c>
      <c r="B1017" s="6" t="s">
        <v>6593</v>
      </c>
      <c r="C1017" s="7">
        <v>1190</v>
      </c>
      <c r="D1017" s="8" t="s">
        <v>6594</v>
      </c>
      <c r="E1017" s="8" t="s">
        <v>6595</v>
      </c>
      <c r="F1017" s="8" t="s">
        <v>6596</v>
      </c>
      <c r="G1017" s="6" t="s">
        <v>90</v>
      </c>
      <c r="H1017" s="6" t="s">
        <v>54</v>
      </c>
      <c r="I1017" s="8" t="s">
        <v>40</v>
      </c>
      <c r="J1017" s="9">
        <v>1</v>
      </c>
      <c r="K1017" s="9">
        <v>208</v>
      </c>
      <c r="L1017" s="9">
        <v>2026</v>
      </c>
      <c r="M1017" s="8" t="s">
        <v>6597</v>
      </c>
      <c r="N1017" s="8" t="s">
        <v>42</v>
      </c>
      <c r="O1017" s="8" t="s">
        <v>169</v>
      </c>
      <c r="P1017" s="6" t="s">
        <v>58</v>
      </c>
      <c r="Q1017" s="8" t="s">
        <v>45</v>
      </c>
      <c r="R1017" s="10" t="s">
        <v>6598</v>
      </c>
      <c r="S1017" s="11" t="s">
        <v>6599</v>
      </c>
      <c r="T1017" s="6"/>
      <c r="U1017" s="24" t="str">
        <f>HYPERLINK("https://media.infra-m.ru/2225/2225679/cover/2225679.jpg", "Обложка")</f>
        <v>Обложка</v>
      </c>
      <c r="V1017" s="24" t="str">
        <f>HYPERLINK("https://znanium.ru/catalog/product/2225679", "Ознакомиться")</f>
        <v>Ознакомиться</v>
      </c>
      <c r="W1017" s="8" t="s">
        <v>6600</v>
      </c>
      <c r="X1017" s="6"/>
      <c r="Y1017" s="6"/>
      <c r="Z1017" s="6"/>
      <c r="AA1017" s="6" t="s">
        <v>270</v>
      </c>
      <c r="AB1017" s="8"/>
    </row>
    <row r="1018" spans="1:28" s="4" customFormat="1" ht="51.95" customHeight="1">
      <c r="A1018" s="5">
        <v>0</v>
      </c>
      <c r="B1018" s="6" t="s">
        <v>6601</v>
      </c>
      <c r="C1018" s="7">
        <v>1134</v>
      </c>
      <c r="D1018" s="8" t="s">
        <v>6602</v>
      </c>
      <c r="E1018" s="8" t="s">
        <v>6603</v>
      </c>
      <c r="F1018" s="8" t="s">
        <v>6604</v>
      </c>
      <c r="G1018" s="6" t="s">
        <v>90</v>
      </c>
      <c r="H1018" s="6" t="s">
        <v>54</v>
      </c>
      <c r="I1018" s="8" t="s">
        <v>40</v>
      </c>
      <c r="J1018" s="9">
        <v>1</v>
      </c>
      <c r="K1018" s="9">
        <v>218</v>
      </c>
      <c r="L1018" s="9">
        <v>2026</v>
      </c>
      <c r="M1018" s="8" t="s">
        <v>6605</v>
      </c>
      <c r="N1018" s="8" t="s">
        <v>42</v>
      </c>
      <c r="O1018" s="8" t="s">
        <v>187</v>
      </c>
      <c r="P1018" s="6" t="s">
        <v>58</v>
      </c>
      <c r="Q1018" s="8" t="s">
        <v>45</v>
      </c>
      <c r="R1018" s="10" t="s">
        <v>6606</v>
      </c>
      <c r="S1018" s="11" t="s">
        <v>6607</v>
      </c>
      <c r="T1018" s="6"/>
      <c r="U1018" s="24" t="str">
        <f>HYPERLINK("https://media.infra-m.ru/2221/2221046/cover/2221046.jpg", "Обложка")</f>
        <v>Обложка</v>
      </c>
      <c r="V1018" s="24" t="str">
        <f>HYPERLINK("https://znanium.ru/catalog/product/2180070", "Ознакомиться")</f>
        <v>Ознакомиться</v>
      </c>
      <c r="W1018" s="8" t="s">
        <v>5415</v>
      </c>
      <c r="X1018" s="6"/>
      <c r="Y1018" s="6" t="s">
        <v>30</v>
      </c>
      <c r="Z1018" s="6"/>
      <c r="AA1018" s="6" t="s">
        <v>3228</v>
      </c>
      <c r="AB1018" s="8"/>
    </row>
    <row r="1019" spans="1:28" s="4" customFormat="1" ht="42" customHeight="1">
      <c r="A1019" s="5">
        <v>0</v>
      </c>
      <c r="B1019" s="6" t="s">
        <v>6608</v>
      </c>
      <c r="C1019" s="7">
        <v>1000</v>
      </c>
      <c r="D1019" s="8" t="s">
        <v>6609</v>
      </c>
      <c r="E1019" s="8" t="s">
        <v>6610</v>
      </c>
      <c r="F1019" s="8" t="s">
        <v>6611</v>
      </c>
      <c r="G1019" s="6" t="s">
        <v>67</v>
      </c>
      <c r="H1019" s="6" t="s">
        <v>299</v>
      </c>
      <c r="I1019" s="8" t="s">
        <v>40</v>
      </c>
      <c r="J1019" s="9">
        <v>1</v>
      </c>
      <c r="K1019" s="9">
        <v>192</v>
      </c>
      <c r="L1019" s="9">
        <v>2025</v>
      </c>
      <c r="M1019" s="8" t="s">
        <v>6612</v>
      </c>
      <c r="N1019" s="8" t="s">
        <v>125</v>
      </c>
      <c r="O1019" s="8" t="s">
        <v>1630</v>
      </c>
      <c r="P1019" s="6" t="s">
        <v>58</v>
      </c>
      <c r="Q1019" s="8" t="s">
        <v>45</v>
      </c>
      <c r="R1019" s="10" t="s">
        <v>6613</v>
      </c>
      <c r="S1019" s="11"/>
      <c r="T1019" s="6"/>
      <c r="U1019" s="24" t="str">
        <f>HYPERLINK("https://media.infra-m.ru/2169/2169673/cover/2169673.jpg", "Обложка")</f>
        <v>Обложка</v>
      </c>
      <c r="V1019" s="24" t="str">
        <f>HYPERLINK("https://znanium.ru/catalog/product/2169673", "Ознакомиться")</f>
        <v>Ознакомиться</v>
      </c>
      <c r="W1019" s="8" t="s">
        <v>73</v>
      </c>
      <c r="X1019" s="6" t="s">
        <v>367</v>
      </c>
      <c r="Y1019" s="6"/>
      <c r="Z1019" s="6" t="s">
        <v>207</v>
      </c>
      <c r="AA1019" s="6" t="s">
        <v>84</v>
      </c>
      <c r="AB1019" s="8"/>
    </row>
    <row r="1020" spans="1:28" s="4" customFormat="1" ht="51.95" customHeight="1">
      <c r="A1020" s="5">
        <v>0</v>
      </c>
      <c r="B1020" s="6" t="s">
        <v>6614</v>
      </c>
      <c r="C1020" s="13">
        <v>564</v>
      </c>
      <c r="D1020" s="8" t="s">
        <v>6615</v>
      </c>
      <c r="E1020" s="8" t="s">
        <v>6616</v>
      </c>
      <c r="F1020" s="8" t="s">
        <v>6617</v>
      </c>
      <c r="G1020" s="6" t="s">
        <v>67</v>
      </c>
      <c r="H1020" s="6" t="s">
        <v>39</v>
      </c>
      <c r="I1020" s="8" t="s">
        <v>69</v>
      </c>
      <c r="J1020" s="9">
        <v>1</v>
      </c>
      <c r="K1020" s="9">
        <v>112</v>
      </c>
      <c r="L1020" s="9">
        <v>2025</v>
      </c>
      <c r="M1020" s="8" t="s">
        <v>6618</v>
      </c>
      <c r="N1020" s="8" t="s">
        <v>42</v>
      </c>
      <c r="O1020" s="8" t="s">
        <v>319</v>
      </c>
      <c r="P1020" s="6" t="s">
        <v>6619</v>
      </c>
      <c r="Q1020" s="8" t="s">
        <v>45</v>
      </c>
      <c r="R1020" s="10" t="s">
        <v>6620</v>
      </c>
      <c r="S1020" s="11" t="s">
        <v>6621</v>
      </c>
      <c r="T1020" s="6"/>
      <c r="U1020" s="24" t="str">
        <f>HYPERLINK("https://media.infra-m.ru/2188/2188213/cover/2188213.jpg", "Обложка")</f>
        <v>Обложка</v>
      </c>
      <c r="V1020" s="24" t="str">
        <f>HYPERLINK("https://znanium.ru/catalog/product/1280629", "Ознакомиться")</f>
        <v>Ознакомиться</v>
      </c>
      <c r="W1020" s="8" t="s">
        <v>413</v>
      </c>
      <c r="X1020" s="6"/>
      <c r="Y1020" s="6"/>
      <c r="Z1020" s="6"/>
      <c r="AA1020" s="6" t="s">
        <v>304</v>
      </c>
      <c r="AB1020" s="8"/>
    </row>
    <row r="1021" spans="1:28" s="4" customFormat="1" ht="51.95" customHeight="1">
      <c r="A1021" s="5">
        <v>0</v>
      </c>
      <c r="B1021" s="6" t="s">
        <v>6622</v>
      </c>
      <c r="C1021" s="7">
        <v>1310</v>
      </c>
      <c r="D1021" s="8" t="s">
        <v>6623</v>
      </c>
      <c r="E1021" s="8" t="s">
        <v>6624</v>
      </c>
      <c r="F1021" s="8" t="s">
        <v>6625</v>
      </c>
      <c r="G1021" s="6" t="s">
        <v>90</v>
      </c>
      <c r="H1021" s="6" t="s">
        <v>54</v>
      </c>
      <c r="I1021" s="8" t="s">
        <v>40</v>
      </c>
      <c r="J1021" s="9">
        <v>1</v>
      </c>
      <c r="K1021" s="9">
        <v>251</v>
      </c>
      <c r="L1021" s="9">
        <v>2026</v>
      </c>
      <c r="M1021" s="8" t="s">
        <v>6626</v>
      </c>
      <c r="N1021" s="8" t="s">
        <v>1306</v>
      </c>
      <c r="O1021" s="8" t="s">
        <v>1307</v>
      </c>
      <c r="P1021" s="6" t="s">
        <v>44</v>
      </c>
      <c r="Q1021" s="8" t="s">
        <v>45</v>
      </c>
      <c r="R1021" s="10" t="s">
        <v>1956</v>
      </c>
      <c r="S1021" s="11" t="s">
        <v>6627</v>
      </c>
      <c r="T1021" s="6"/>
      <c r="U1021" s="24" t="str">
        <f>HYPERLINK("https://media.infra-m.ru/2214/2214855/cover/2214855.jpg", "Обложка")</f>
        <v>Обложка</v>
      </c>
      <c r="V1021" s="24" t="str">
        <f>HYPERLINK("https://znanium.ru/catalog/product/2214855", "Ознакомиться")</f>
        <v>Ознакомиться</v>
      </c>
      <c r="W1021" s="8" t="s">
        <v>6628</v>
      </c>
      <c r="X1021" s="6"/>
      <c r="Y1021" s="6"/>
      <c r="Z1021" s="6" t="s">
        <v>48</v>
      </c>
      <c r="AA1021" s="6" t="s">
        <v>223</v>
      </c>
      <c r="AB1021" s="8"/>
    </row>
    <row r="1022" spans="1:28" s="4" customFormat="1" ht="51.95" customHeight="1">
      <c r="A1022" s="5">
        <v>0</v>
      </c>
      <c r="B1022" s="6" t="s">
        <v>6629</v>
      </c>
      <c r="C1022" s="7">
        <v>2404</v>
      </c>
      <c r="D1022" s="8" t="s">
        <v>6630</v>
      </c>
      <c r="E1022" s="8" t="s">
        <v>6631</v>
      </c>
      <c r="F1022" s="8" t="s">
        <v>5897</v>
      </c>
      <c r="G1022" s="6" t="s">
        <v>90</v>
      </c>
      <c r="H1022" s="6" t="s">
        <v>54</v>
      </c>
      <c r="I1022" s="8" t="s">
        <v>40</v>
      </c>
      <c r="J1022" s="9">
        <v>1</v>
      </c>
      <c r="K1022" s="9">
        <v>462</v>
      </c>
      <c r="L1022" s="9">
        <v>2025</v>
      </c>
      <c r="M1022" s="8" t="s">
        <v>6632</v>
      </c>
      <c r="N1022" s="8" t="s">
        <v>42</v>
      </c>
      <c r="O1022" s="8" t="s">
        <v>43</v>
      </c>
      <c r="P1022" s="6" t="s">
        <v>58</v>
      </c>
      <c r="Q1022" s="8" t="s">
        <v>45</v>
      </c>
      <c r="R1022" s="10" t="s">
        <v>6633</v>
      </c>
      <c r="S1022" s="11" t="s">
        <v>6634</v>
      </c>
      <c r="T1022" s="6" t="s">
        <v>118</v>
      </c>
      <c r="U1022" s="24" t="str">
        <f>HYPERLINK("https://media.infra-m.ru/2197/2197804/cover/2197804.jpg", "Обложка")</f>
        <v>Обложка</v>
      </c>
      <c r="V1022" s="24" t="str">
        <f>HYPERLINK("https://znanium.ru/catalog/product/1764799", "Ознакомиться")</f>
        <v>Ознакомиться</v>
      </c>
      <c r="W1022" s="8" t="s">
        <v>5901</v>
      </c>
      <c r="X1022" s="6"/>
      <c r="Y1022" s="6" t="s">
        <v>30</v>
      </c>
      <c r="Z1022" s="6" t="s">
        <v>48</v>
      </c>
      <c r="AA1022" s="6" t="s">
        <v>500</v>
      </c>
      <c r="AB1022" s="8"/>
    </row>
    <row r="1023" spans="1:28" s="4" customFormat="1" ht="42" customHeight="1">
      <c r="A1023" s="5">
        <v>0</v>
      </c>
      <c r="B1023" s="6" t="s">
        <v>6635</v>
      </c>
      <c r="C1023" s="7">
        <v>2554</v>
      </c>
      <c r="D1023" s="8" t="s">
        <v>6636</v>
      </c>
      <c r="E1023" s="8" t="s">
        <v>6637</v>
      </c>
      <c r="F1023" s="8" t="s">
        <v>6638</v>
      </c>
      <c r="G1023" s="6" t="s">
        <v>38</v>
      </c>
      <c r="H1023" s="6" t="s">
        <v>54</v>
      </c>
      <c r="I1023" s="8" t="s">
        <v>40</v>
      </c>
      <c r="J1023" s="9">
        <v>1</v>
      </c>
      <c r="K1023" s="9">
        <v>510</v>
      </c>
      <c r="L1023" s="9">
        <v>2025</v>
      </c>
      <c r="M1023" s="8" t="s">
        <v>6639</v>
      </c>
      <c r="N1023" s="8" t="s">
        <v>42</v>
      </c>
      <c r="O1023" s="8" t="s">
        <v>169</v>
      </c>
      <c r="P1023" s="6" t="s">
        <v>1486</v>
      </c>
      <c r="Q1023" s="8" t="s">
        <v>45</v>
      </c>
      <c r="R1023" s="10" t="s">
        <v>6640</v>
      </c>
      <c r="S1023" s="11"/>
      <c r="T1023" s="6"/>
      <c r="U1023" s="24" t="str">
        <f>HYPERLINK("https://media.infra-m.ru/2170/2170077/cover/2170077.jpg", "Обложка")</f>
        <v>Обложка</v>
      </c>
      <c r="V1023" s="24" t="str">
        <f>HYPERLINK("https://znanium.ru/catalog/product/2149827", "Ознакомиться")</f>
        <v>Ознакомиться</v>
      </c>
      <c r="W1023" s="8" t="s">
        <v>180</v>
      </c>
      <c r="X1023" s="6"/>
      <c r="Y1023" s="6"/>
      <c r="Z1023" s="6"/>
      <c r="AA1023" s="6" t="s">
        <v>2226</v>
      </c>
      <c r="AB1023" s="8"/>
    </row>
    <row r="1024" spans="1:28" s="4" customFormat="1" ht="42" customHeight="1">
      <c r="A1024" s="5">
        <v>0</v>
      </c>
      <c r="B1024" s="6" t="s">
        <v>6641</v>
      </c>
      <c r="C1024" s="7">
        <v>1150</v>
      </c>
      <c r="D1024" s="8" t="s">
        <v>6642</v>
      </c>
      <c r="E1024" s="8" t="s">
        <v>6643</v>
      </c>
      <c r="F1024" s="8" t="s">
        <v>1954</v>
      </c>
      <c r="G1024" s="6" t="s">
        <v>90</v>
      </c>
      <c r="H1024" s="6" t="s">
        <v>54</v>
      </c>
      <c r="I1024" s="8" t="s">
        <v>40</v>
      </c>
      <c r="J1024" s="9">
        <v>1</v>
      </c>
      <c r="K1024" s="9">
        <v>201</v>
      </c>
      <c r="L1024" s="9">
        <v>2026</v>
      </c>
      <c r="M1024" s="8" t="s">
        <v>6644</v>
      </c>
      <c r="N1024" s="8" t="s">
        <v>56</v>
      </c>
      <c r="O1024" s="8" t="s">
        <v>807</v>
      </c>
      <c r="P1024" s="6" t="s">
        <v>44</v>
      </c>
      <c r="Q1024" s="8" t="s">
        <v>45</v>
      </c>
      <c r="R1024" s="10" t="s">
        <v>5317</v>
      </c>
      <c r="S1024" s="11"/>
      <c r="T1024" s="6" t="s">
        <v>118</v>
      </c>
      <c r="U1024" s="24" t="str">
        <f>HYPERLINK("https://media.infra-m.ru/2219/2219025/cover/2219025.jpg", "Обложка")</f>
        <v>Обложка</v>
      </c>
      <c r="V1024" s="24" t="str">
        <f>HYPERLINK("https://znanium.ru/catalog/product/2219025", "Ознакомиться")</f>
        <v>Ознакомиться</v>
      </c>
      <c r="W1024" s="8" t="s">
        <v>4953</v>
      </c>
      <c r="X1024" s="6"/>
      <c r="Y1024" s="6"/>
      <c r="Z1024" s="6"/>
      <c r="AA1024" s="6" t="s">
        <v>84</v>
      </c>
      <c r="AB1024" s="8" t="s">
        <v>85</v>
      </c>
    </row>
    <row r="1025" spans="1:28" s="4" customFormat="1" ht="51.95" customHeight="1">
      <c r="A1025" s="5">
        <v>0</v>
      </c>
      <c r="B1025" s="6" t="s">
        <v>6645</v>
      </c>
      <c r="C1025" s="13">
        <v>820</v>
      </c>
      <c r="D1025" s="8" t="s">
        <v>6646</v>
      </c>
      <c r="E1025" s="8" t="s">
        <v>6647</v>
      </c>
      <c r="F1025" s="8" t="s">
        <v>6648</v>
      </c>
      <c r="G1025" s="6" t="s">
        <v>90</v>
      </c>
      <c r="H1025" s="6" t="s">
        <v>54</v>
      </c>
      <c r="I1025" s="8" t="s">
        <v>40</v>
      </c>
      <c r="J1025" s="9">
        <v>1</v>
      </c>
      <c r="K1025" s="9">
        <v>164</v>
      </c>
      <c r="L1025" s="9">
        <v>2025</v>
      </c>
      <c r="M1025" s="8" t="s">
        <v>6649</v>
      </c>
      <c r="N1025" s="8" t="s">
        <v>56</v>
      </c>
      <c r="O1025" s="8" t="s">
        <v>6650</v>
      </c>
      <c r="P1025" s="6" t="s">
        <v>44</v>
      </c>
      <c r="Q1025" s="8" t="s">
        <v>45</v>
      </c>
      <c r="R1025" s="10" t="s">
        <v>6651</v>
      </c>
      <c r="S1025" s="11"/>
      <c r="T1025" s="6"/>
      <c r="U1025" s="24" t="str">
        <f>HYPERLINK("https://media.infra-m.ru/2169/2169124/cover/2169124.jpg", "Обложка")</f>
        <v>Обложка</v>
      </c>
      <c r="V1025" s="24" t="str">
        <f>HYPERLINK("https://znanium.ru/catalog/product/2169124", "Ознакомиться")</f>
        <v>Ознакомиться</v>
      </c>
      <c r="W1025" s="8" t="s">
        <v>6652</v>
      </c>
      <c r="X1025" s="6" t="s">
        <v>367</v>
      </c>
      <c r="Y1025" s="6"/>
      <c r="Z1025" s="6" t="s">
        <v>207</v>
      </c>
      <c r="AA1025" s="6" t="s">
        <v>84</v>
      </c>
      <c r="AB1025" s="8"/>
    </row>
    <row r="1026" spans="1:28" s="4" customFormat="1" ht="42" customHeight="1">
      <c r="A1026" s="5">
        <v>0</v>
      </c>
      <c r="B1026" s="6" t="s">
        <v>6653</v>
      </c>
      <c r="C1026" s="7">
        <v>1580</v>
      </c>
      <c r="D1026" s="8" t="s">
        <v>6654</v>
      </c>
      <c r="E1026" s="8" t="s">
        <v>6655</v>
      </c>
      <c r="F1026" s="8" t="s">
        <v>6656</v>
      </c>
      <c r="G1026" s="6" t="s">
        <v>90</v>
      </c>
      <c r="H1026" s="6" t="s">
        <v>54</v>
      </c>
      <c r="I1026" s="8" t="s">
        <v>79</v>
      </c>
      <c r="J1026" s="9">
        <v>1</v>
      </c>
      <c r="K1026" s="9">
        <v>302</v>
      </c>
      <c r="L1026" s="9">
        <v>2025</v>
      </c>
      <c r="M1026" s="8" t="s">
        <v>6657</v>
      </c>
      <c r="N1026" s="8" t="s">
        <v>125</v>
      </c>
      <c r="O1026" s="8" t="s">
        <v>432</v>
      </c>
      <c r="P1026" s="6" t="s">
        <v>58</v>
      </c>
      <c r="Q1026" s="8" t="s">
        <v>45</v>
      </c>
      <c r="R1026" s="10" t="s">
        <v>908</v>
      </c>
      <c r="S1026" s="11"/>
      <c r="T1026" s="6"/>
      <c r="U1026" s="24" t="str">
        <f>HYPERLINK("https://media.infra-m.ru/2203/2203270/cover/2203270.jpg", "Обложка")</f>
        <v>Обложка</v>
      </c>
      <c r="V1026" s="24" t="str">
        <f>HYPERLINK("https://znanium.ru/catalog/product/2111842", "Ознакомиться")</f>
        <v>Ознакомиться</v>
      </c>
      <c r="W1026" s="8" t="s">
        <v>82</v>
      </c>
      <c r="X1026" s="6"/>
      <c r="Y1026" s="6"/>
      <c r="Z1026" s="6"/>
      <c r="AA1026" s="6" t="s">
        <v>84</v>
      </c>
      <c r="AB1026" s="8" t="s">
        <v>710</v>
      </c>
    </row>
    <row r="1027" spans="1:28" s="4" customFormat="1" ht="51.95" customHeight="1">
      <c r="A1027" s="5">
        <v>0</v>
      </c>
      <c r="B1027" s="6" t="s">
        <v>6658</v>
      </c>
      <c r="C1027" s="7">
        <v>1674</v>
      </c>
      <c r="D1027" s="8" t="s">
        <v>6659</v>
      </c>
      <c r="E1027" s="8" t="s">
        <v>6660</v>
      </c>
      <c r="F1027" s="8" t="s">
        <v>6661</v>
      </c>
      <c r="G1027" s="6" t="s">
        <v>90</v>
      </c>
      <c r="H1027" s="6" t="s">
        <v>39</v>
      </c>
      <c r="I1027" s="8" t="s">
        <v>69</v>
      </c>
      <c r="J1027" s="9">
        <v>1</v>
      </c>
      <c r="K1027" s="9">
        <v>335</v>
      </c>
      <c r="L1027" s="9">
        <v>2025</v>
      </c>
      <c r="M1027" s="8" t="s">
        <v>6662</v>
      </c>
      <c r="N1027" s="8" t="s">
        <v>56</v>
      </c>
      <c r="O1027" s="8" t="s">
        <v>343</v>
      </c>
      <c r="P1027" s="6" t="s">
        <v>58</v>
      </c>
      <c r="Q1027" s="8" t="s">
        <v>45</v>
      </c>
      <c r="R1027" s="10" t="s">
        <v>6663</v>
      </c>
      <c r="S1027" s="11" t="s">
        <v>970</v>
      </c>
      <c r="T1027" s="6"/>
      <c r="U1027" s="24" t="str">
        <f>HYPERLINK("https://media.infra-m.ru/2184/2184961/cover/2184961.jpg", "Обложка")</f>
        <v>Обложка</v>
      </c>
      <c r="V1027" s="24" t="str">
        <f>HYPERLINK("https://znanium.ru/catalog/product/1866999", "Ознакомиться")</f>
        <v>Ознакомиться</v>
      </c>
      <c r="W1027" s="8" t="s">
        <v>6664</v>
      </c>
      <c r="X1027" s="6"/>
      <c r="Y1027" s="6"/>
      <c r="Z1027" s="6"/>
      <c r="AA1027" s="6" t="s">
        <v>1689</v>
      </c>
      <c r="AB1027" s="8"/>
    </row>
    <row r="1028" spans="1:28" s="4" customFormat="1" ht="51.95" customHeight="1">
      <c r="A1028" s="5">
        <v>0</v>
      </c>
      <c r="B1028" s="6" t="s">
        <v>6665</v>
      </c>
      <c r="C1028" s="13">
        <v>994</v>
      </c>
      <c r="D1028" s="8" t="s">
        <v>6666</v>
      </c>
      <c r="E1028" s="8" t="s">
        <v>6667</v>
      </c>
      <c r="F1028" s="8" t="s">
        <v>4924</v>
      </c>
      <c r="G1028" s="6" t="s">
        <v>90</v>
      </c>
      <c r="H1028" s="6" t="s">
        <v>299</v>
      </c>
      <c r="I1028" s="8" t="s">
        <v>40</v>
      </c>
      <c r="J1028" s="9">
        <v>1</v>
      </c>
      <c r="K1028" s="9">
        <v>192</v>
      </c>
      <c r="L1028" s="9">
        <v>2025</v>
      </c>
      <c r="M1028" s="8" t="s">
        <v>6668</v>
      </c>
      <c r="N1028" s="8" t="s">
        <v>56</v>
      </c>
      <c r="O1028" s="8" t="s">
        <v>343</v>
      </c>
      <c r="P1028" s="6" t="s">
        <v>44</v>
      </c>
      <c r="Q1028" s="8" t="s">
        <v>45</v>
      </c>
      <c r="R1028" s="10" t="s">
        <v>6669</v>
      </c>
      <c r="S1028" s="11" t="s">
        <v>6670</v>
      </c>
      <c r="T1028" s="6"/>
      <c r="U1028" s="24" t="str">
        <f>HYPERLINK("https://media.infra-m.ru/2198/2198561/cover/2198561.jpg", "Обложка")</f>
        <v>Обложка</v>
      </c>
      <c r="V1028" s="24" t="str">
        <f>HYPERLINK("https://znanium.ru/catalog/product/2197258", "Ознакомиться")</f>
        <v>Ознакомиться</v>
      </c>
      <c r="W1028" s="8" t="s">
        <v>4166</v>
      </c>
      <c r="X1028" s="6"/>
      <c r="Y1028" s="6"/>
      <c r="Z1028" s="6"/>
      <c r="AA1028" s="6" t="s">
        <v>304</v>
      </c>
      <c r="AB1028" s="8"/>
    </row>
    <row r="1029" spans="1:28" s="4" customFormat="1" ht="51.95" customHeight="1">
      <c r="A1029" s="5">
        <v>0</v>
      </c>
      <c r="B1029" s="6" t="s">
        <v>6671</v>
      </c>
      <c r="C1029" s="13">
        <v>860</v>
      </c>
      <c r="D1029" s="8" t="s">
        <v>6672</v>
      </c>
      <c r="E1029" s="8" t="s">
        <v>6673</v>
      </c>
      <c r="F1029" s="8" t="s">
        <v>6674</v>
      </c>
      <c r="G1029" s="6" t="s">
        <v>90</v>
      </c>
      <c r="H1029" s="6" t="s">
        <v>54</v>
      </c>
      <c r="I1029" s="8" t="s">
        <v>40</v>
      </c>
      <c r="J1029" s="9">
        <v>1</v>
      </c>
      <c r="K1029" s="9">
        <v>159</v>
      </c>
      <c r="L1029" s="9">
        <v>2026</v>
      </c>
      <c r="M1029" s="8" t="s">
        <v>6675</v>
      </c>
      <c r="N1029" s="8" t="s">
        <v>125</v>
      </c>
      <c r="O1029" s="8" t="s">
        <v>2508</v>
      </c>
      <c r="P1029" s="6" t="s">
        <v>44</v>
      </c>
      <c r="Q1029" s="8" t="s">
        <v>45</v>
      </c>
      <c r="R1029" s="10" t="s">
        <v>5122</v>
      </c>
      <c r="S1029" s="11" t="s">
        <v>6676</v>
      </c>
      <c r="T1029" s="6"/>
      <c r="U1029" s="24" t="str">
        <f>HYPERLINK("https://media.infra-m.ru/2215/2215379/cover/2215379.jpg", "Обложка")</f>
        <v>Обложка</v>
      </c>
      <c r="V1029" s="24" t="str">
        <f>HYPERLINK("https://znanium.ru/catalog/product/2215379", "Ознакомиться")</f>
        <v>Ознакомиться</v>
      </c>
      <c r="W1029" s="8" t="s">
        <v>6677</v>
      </c>
      <c r="X1029" s="6"/>
      <c r="Y1029" s="6"/>
      <c r="Z1029" s="6" t="s">
        <v>48</v>
      </c>
      <c r="AA1029" s="6" t="s">
        <v>111</v>
      </c>
      <c r="AB1029" s="8" t="s">
        <v>860</v>
      </c>
    </row>
    <row r="1030" spans="1:28" s="4" customFormat="1" ht="42" customHeight="1">
      <c r="A1030" s="5">
        <v>0</v>
      </c>
      <c r="B1030" s="6" t="s">
        <v>6678</v>
      </c>
      <c r="C1030" s="7">
        <v>1854</v>
      </c>
      <c r="D1030" s="8" t="s">
        <v>6679</v>
      </c>
      <c r="E1030" s="8" t="s">
        <v>6680</v>
      </c>
      <c r="F1030" s="8" t="s">
        <v>6681</v>
      </c>
      <c r="G1030" s="6" t="s">
        <v>90</v>
      </c>
      <c r="H1030" s="6" t="s">
        <v>54</v>
      </c>
      <c r="I1030" s="8" t="s">
        <v>40</v>
      </c>
      <c r="J1030" s="9">
        <v>1</v>
      </c>
      <c r="K1030" s="9">
        <v>337</v>
      </c>
      <c r="L1030" s="9">
        <v>2026</v>
      </c>
      <c r="M1030" s="8" t="s">
        <v>6682</v>
      </c>
      <c r="N1030" s="8" t="s">
        <v>125</v>
      </c>
      <c r="O1030" s="8" t="s">
        <v>352</v>
      </c>
      <c r="P1030" s="6" t="s">
        <v>44</v>
      </c>
      <c r="Q1030" s="8" t="s">
        <v>45</v>
      </c>
      <c r="R1030" s="10" t="s">
        <v>2884</v>
      </c>
      <c r="S1030" s="11"/>
      <c r="T1030" s="6"/>
      <c r="U1030" s="24" t="str">
        <f>HYPERLINK("https://media.infra-m.ru/2224/2224104/cover/2224104.jpg", "Обложка")</f>
        <v>Обложка</v>
      </c>
      <c r="V1030" s="24" t="str">
        <f>HYPERLINK("https://znanium.ru/catalog/product/2191937", "Ознакомиться")</f>
        <v>Ознакомиться</v>
      </c>
      <c r="W1030" s="8" t="s">
        <v>3980</v>
      </c>
      <c r="X1030" s="6"/>
      <c r="Y1030" s="6"/>
      <c r="Z1030" s="6" t="s">
        <v>929</v>
      </c>
      <c r="AA1030" s="6" t="s">
        <v>354</v>
      </c>
      <c r="AB1030" s="8"/>
    </row>
    <row r="1031" spans="1:28" s="4" customFormat="1" ht="51.95" customHeight="1">
      <c r="A1031" s="5">
        <v>0</v>
      </c>
      <c r="B1031" s="6" t="s">
        <v>6683</v>
      </c>
      <c r="C1031" s="7">
        <v>1734</v>
      </c>
      <c r="D1031" s="8" t="s">
        <v>6684</v>
      </c>
      <c r="E1031" s="8" t="s">
        <v>6685</v>
      </c>
      <c r="F1031" s="8" t="s">
        <v>6686</v>
      </c>
      <c r="G1031" s="6" t="s">
        <v>90</v>
      </c>
      <c r="H1031" s="6" t="s">
        <v>54</v>
      </c>
      <c r="I1031" s="8" t="s">
        <v>40</v>
      </c>
      <c r="J1031" s="9">
        <v>1</v>
      </c>
      <c r="K1031" s="9">
        <v>334</v>
      </c>
      <c r="L1031" s="9">
        <v>2026</v>
      </c>
      <c r="M1031" s="8" t="s">
        <v>6687</v>
      </c>
      <c r="N1031" s="8" t="s">
        <v>42</v>
      </c>
      <c r="O1031" s="8" t="s">
        <v>187</v>
      </c>
      <c r="P1031" s="6" t="s">
        <v>44</v>
      </c>
      <c r="Q1031" s="8" t="s">
        <v>45</v>
      </c>
      <c r="R1031" s="10" t="s">
        <v>6688</v>
      </c>
      <c r="S1031" s="11" t="s">
        <v>6689</v>
      </c>
      <c r="T1031" s="6"/>
      <c r="U1031" s="24" t="str">
        <f>HYPERLINK("https://media.infra-m.ru/2216/2216848/cover/2216848.jpg", "Обложка")</f>
        <v>Обложка</v>
      </c>
      <c r="V1031" s="24" t="str">
        <f>HYPERLINK("https://znanium.ru/catalog/product/2212625", "Ознакомиться")</f>
        <v>Ознакомиться</v>
      </c>
      <c r="W1031" s="8" t="s">
        <v>172</v>
      </c>
      <c r="X1031" s="6"/>
      <c r="Y1031" s="6"/>
      <c r="Z1031" s="6"/>
      <c r="AA1031" s="6" t="s">
        <v>278</v>
      </c>
      <c r="AB1031" s="8"/>
    </row>
    <row r="1032" spans="1:28" s="4" customFormat="1" ht="51.95" customHeight="1">
      <c r="A1032" s="5">
        <v>0</v>
      </c>
      <c r="B1032" s="6" t="s">
        <v>6690</v>
      </c>
      <c r="C1032" s="7">
        <v>2084</v>
      </c>
      <c r="D1032" s="8" t="s">
        <v>6691</v>
      </c>
      <c r="E1032" s="8" t="s">
        <v>6692</v>
      </c>
      <c r="F1032" s="8" t="s">
        <v>6693</v>
      </c>
      <c r="G1032" s="6" t="s">
        <v>38</v>
      </c>
      <c r="H1032" s="6" t="s">
        <v>39</v>
      </c>
      <c r="I1032" s="8" t="s">
        <v>69</v>
      </c>
      <c r="J1032" s="9">
        <v>1</v>
      </c>
      <c r="K1032" s="9">
        <v>400</v>
      </c>
      <c r="L1032" s="9">
        <v>2025</v>
      </c>
      <c r="M1032" s="8" t="s">
        <v>6694</v>
      </c>
      <c r="N1032" s="8" t="s">
        <v>42</v>
      </c>
      <c r="O1032" s="8" t="s">
        <v>169</v>
      </c>
      <c r="P1032" s="6" t="s">
        <v>44</v>
      </c>
      <c r="Q1032" s="8" t="s">
        <v>45</v>
      </c>
      <c r="R1032" s="10" t="s">
        <v>6695</v>
      </c>
      <c r="S1032" s="11"/>
      <c r="T1032" s="6"/>
      <c r="U1032" s="24" t="str">
        <f>HYPERLINK("https://media.infra-m.ru/2179/2179485/cover/2179485.jpg", "Обложка")</f>
        <v>Обложка</v>
      </c>
      <c r="V1032" s="24" t="str">
        <f>HYPERLINK("https://znanium.ru/catalog/product/1138794", "Ознакомиться")</f>
        <v>Ознакомиться</v>
      </c>
      <c r="W1032" s="8" t="s">
        <v>180</v>
      </c>
      <c r="X1032" s="6"/>
      <c r="Y1032" s="6"/>
      <c r="Z1032" s="6"/>
      <c r="AA1032" s="6" t="s">
        <v>6696</v>
      </c>
      <c r="AB1032" s="8"/>
    </row>
    <row r="1033" spans="1:28" s="4" customFormat="1" ht="51.95" customHeight="1">
      <c r="A1033" s="5">
        <v>0</v>
      </c>
      <c r="B1033" s="6" t="s">
        <v>6697</v>
      </c>
      <c r="C1033" s="7">
        <v>1610</v>
      </c>
      <c r="D1033" s="8" t="s">
        <v>6698</v>
      </c>
      <c r="E1033" s="8" t="s">
        <v>6699</v>
      </c>
      <c r="F1033" s="8" t="s">
        <v>5997</v>
      </c>
      <c r="G1033" s="6" t="s">
        <v>90</v>
      </c>
      <c r="H1033" s="6" t="s">
        <v>54</v>
      </c>
      <c r="I1033" s="8" t="s">
        <v>40</v>
      </c>
      <c r="J1033" s="9">
        <v>1</v>
      </c>
      <c r="K1033" s="9">
        <v>304</v>
      </c>
      <c r="L1033" s="9">
        <v>2026</v>
      </c>
      <c r="M1033" s="8" t="s">
        <v>6700</v>
      </c>
      <c r="N1033" s="8" t="s">
        <v>42</v>
      </c>
      <c r="O1033" s="8" t="s">
        <v>169</v>
      </c>
      <c r="P1033" s="6" t="s">
        <v>44</v>
      </c>
      <c r="Q1033" s="8" t="s">
        <v>45</v>
      </c>
      <c r="R1033" s="10" t="s">
        <v>6701</v>
      </c>
      <c r="S1033" s="11" t="s">
        <v>6006</v>
      </c>
      <c r="T1033" s="6"/>
      <c r="U1033" s="24" t="str">
        <f>HYPERLINK("https://media.infra-m.ru/2215/2215732/cover/2215732.jpg", "Обложка")</f>
        <v>Обложка</v>
      </c>
      <c r="V1033" s="24" t="str">
        <f>HYPERLINK("https://znanium.ru/catalog/product/2215732", "Ознакомиться")</f>
        <v>Ознакомиться</v>
      </c>
      <c r="W1033" s="8" t="s">
        <v>172</v>
      </c>
      <c r="X1033" s="6"/>
      <c r="Y1033" s="6"/>
      <c r="Z1033" s="6"/>
      <c r="AA1033" s="6" t="s">
        <v>147</v>
      </c>
      <c r="AB1033" s="8"/>
    </row>
    <row r="1034" spans="1:28" s="4" customFormat="1" ht="51.95" customHeight="1">
      <c r="A1034" s="5">
        <v>0</v>
      </c>
      <c r="B1034" s="6" t="s">
        <v>6702</v>
      </c>
      <c r="C1034" s="7">
        <v>1470</v>
      </c>
      <c r="D1034" s="8" t="s">
        <v>6703</v>
      </c>
      <c r="E1034" s="8" t="s">
        <v>6704</v>
      </c>
      <c r="F1034" s="8" t="s">
        <v>6705</v>
      </c>
      <c r="G1034" s="6" t="s">
        <v>90</v>
      </c>
      <c r="H1034" s="6" t="s">
        <v>54</v>
      </c>
      <c r="I1034" s="8" t="s">
        <v>40</v>
      </c>
      <c r="J1034" s="9">
        <v>1</v>
      </c>
      <c r="K1034" s="9">
        <v>262</v>
      </c>
      <c r="L1034" s="9">
        <v>2026</v>
      </c>
      <c r="M1034" s="8" t="s">
        <v>6706</v>
      </c>
      <c r="N1034" s="8" t="s">
        <v>42</v>
      </c>
      <c r="O1034" s="8" t="s">
        <v>169</v>
      </c>
      <c r="P1034" s="6" t="s">
        <v>1486</v>
      </c>
      <c r="Q1034" s="8" t="s">
        <v>45</v>
      </c>
      <c r="R1034" s="10" t="s">
        <v>6707</v>
      </c>
      <c r="S1034" s="11"/>
      <c r="T1034" s="6"/>
      <c r="U1034" s="24" t="str">
        <f>HYPERLINK("https://media.infra-m.ru/2224/2224064/cover/2224064.jpg", "Обложка")</f>
        <v>Обложка</v>
      </c>
      <c r="V1034" s="24" t="str">
        <f>HYPERLINK("https://znanium.ru/catalog/product/2224064", "Ознакомиться")</f>
        <v>Ознакомиться</v>
      </c>
      <c r="W1034" s="8" t="s">
        <v>180</v>
      </c>
      <c r="X1034" s="6"/>
      <c r="Y1034" s="6"/>
      <c r="Z1034" s="6"/>
      <c r="AA1034" s="6" t="s">
        <v>362</v>
      </c>
      <c r="AB1034" s="8"/>
    </row>
    <row r="1035" spans="1:28" s="4" customFormat="1" ht="51.95" customHeight="1">
      <c r="A1035" s="5">
        <v>0</v>
      </c>
      <c r="B1035" s="6" t="s">
        <v>6708</v>
      </c>
      <c r="C1035" s="7">
        <v>2060</v>
      </c>
      <c r="D1035" s="8" t="s">
        <v>6709</v>
      </c>
      <c r="E1035" s="8" t="s">
        <v>6710</v>
      </c>
      <c r="F1035" s="8" t="s">
        <v>6638</v>
      </c>
      <c r="G1035" s="6" t="s">
        <v>38</v>
      </c>
      <c r="H1035" s="6" t="s">
        <v>54</v>
      </c>
      <c r="I1035" s="8" t="s">
        <v>40</v>
      </c>
      <c r="J1035" s="9">
        <v>1</v>
      </c>
      <c r="K1035" s="9">
        <v>412</v>
      </c>
      <c r="L1035" s="9">
        <v>2025</v>
      </c>
      <c r="M1035" s="8" t="s">
        <v>6711</v>
      </c>
      <c r="N1035" s="8" t="s">
        <v>42</v>
      </c>
      <c r="O1035" s="8" t="s">
        <v>169</v>
      </c>
      <c r="P1035" s="6" t="s">
        <v>44</v>
      </c>
      <c r="Q1035" s="8" t="s">
        <v>45</v>
      </c>
      <c r="R1035" s="10" t="s">
        <v>6712</v>
      </c>
      <c r="S1035" s="11" t="s">
        <v>6713</v>
      </c>
      <c r="T1035" s="6"/>
      <c r="U1035" s="24" t="str">
        <f>HYPERLINK("https://media.infra-m.ru/2170/2170078/cover/2170078.jpg", "Обложка")</f>
        <v>Обложка</v>
      </c>
      <c r="V1035" s="24" t="str">
        <f>HYPERLINK("https://znanium.ru/catalog/product/2170078", "Ознакомиться")</f>
        <v>Ознакомиться</v>
      </c>
      <c r="W1035" s="8" t="s">
        <v>180</v>
      </c>
      <c r="X1035" s="6"/>
      <c r="Y1035" s="6" t="s">
        <v>30</v>
      </c>
      <c r="Z1035" s="6"/>
      <c r="AA1035" s="6" t="s">
        <v>6714</v>
      </c>
      <c r="AB1035" s="8"/>
    </row>
    <row r="1036" spans="1:28" s="4" customFormat="1" ht="51.95" customHeight="1">
      <c r="A1036" s="5">
        <v>0</v>
      </c>
      <c r="B1036" s="6" t="s">
        <v>6715</v>
      </c>
      <c r="C1036" s="13">
        <v>704</v>
      </c>
      <c r="D1036" s="8" t="s">
        <v>6716</v>
      </c>
      <c r="E1036" s="8" t="s">
        <v>6717</v>
      </c>
      <c r="F1036" s="8" t="s">
        <v>6259</v>
      </c>
      <c r="G1036" s="6" t="s">
        <v>67</v>
      </c>
      <c r="H1036" s="6" t="s">
        <v>54</v>
      </c>
      <c r="I1036" s="8" t="s">
        <v>40</v>
      </c>
      <c r="J1036" s="9">
        <v>1</v>
      </c>
      <c r="K1036" s="9">
        <v>136</v>
      </c>
      <c r="L1036" s="9">
        <v>2025</v>
      </c>
      <c r="M1036" s="8" t="s">
        <v>6718</v>
      </c>
      <c r="N1036" s="8" t="s">
        <v>42</v>
      </c>
      <c r="O1036" s="8" t="s">
        <v>169</v>
      </c>
      <c r="P1036" s="6" t="s">
        <v>44</v>
      </c>
      <c r="Q1036" s="8" t="s">
        <v>45</v>
      </c>
      <c r="R1036" s="10" t="s">
        <v>6719</v>
      </c>
      <c r="S1036" s="11" t="s">
        <v>6720</v>
      </c>
      <c r="T1036" s="6"/>
      <c r="U1036" s="24" t="str">
        <f>HYPERLINK("https://media.infra-m.ru/2205/2205666/cover/2205666.jpg", "Обложка")</f>
        <v>Обложка</v>
      </c>
      <c r="V1036" s="24" t="str">
        <f>HYPERLINK("https://znanium.ru/catalog/product/2103212", "Ознакомиться")</f>
        <v>Ознакомиться</v>
      </c>
      <c r="W1036" s="8" t="s">
        <v>792</v>
      </c>
      <c r="X1036" s="6"/>
      <c r="Y1036" s="6"/>
      <c r="Z1036" s="6"/>
      <c r="AA1036" s="6" t="s">
        <v>1730</v>
      </c>
      <c r="AB1036" s="8"/>
    </row>
    <row r="1037" spans="1:28" s="4" customFormat="1" ht="51.95" customHeight="1">
      <c r="A1037" s="5">
        <v>0</v>
      </c>
      <c r="B1037" s="6" t="s">
        <v>6721</v>
      </c>
      <c r="C1037" s="7">
        <v>1200</v>
      </c>
      <c r="D1037" s="8" t="s">
        <v>6722</v>
      </c>
      <c r="E1037" s="8" t="s">
        <v>6723</v>
      </c>
      <c r="F1037" s="8" t="s">
        <v>4326</v>
      </c>
      <c r="G1037" s="6" t="s">
        <v>90</v>
      </c>
      <c r="H1037" s="6" t="s">
        <v>54</v>
      </c>
      <c r="I1037" s="8" t="s">
        <v>40</v>
      </c>
      <c r="J1037" s="9">
        <v>1</v>
      </c>
      <c r="K1037" s="9">
        <v>297</v>
      </c>
      <c r="L1037" s="9">
        <v>2022</v>
      </c>
      <c r="M1037" s="8" t="s">
        <v>6724</v>
      </c>
      <c r="N1037" s="8" t="s">
        <v>42</v>
      </c>
      <c r="O1037" s="8" t="s">
        <v>1370</v>
      </c>
      <c r="P1037" s="6" t="s">
        <v>58</v>
      </c>
      <c r="Q1037" s="8" t="s">
        <v>45</v>
      </c>
      <c r="R1037" s="10" t="s">
        <v>6725</v>
      </c>
      <c r="S1037" s="11" t="s">
        <v>6726</v>
      </c>
      <c r="T1037" s="6"/>
      <c r="U1037" s="24" t="str">
        <f>HYPERLINK("https://media.infra-m.ru/1864/1864125/cover/1864125.jpg", "Обложка")</f>
        <v>Обложка</v>
      </c>
      <c r="V1037" s="24" t="str">
        <f>HYPERLINK("https://znanium.ru/catalog/product/1864125", "Ознакомиться")</f>
        <v>Ознакомиться</v>
      </c>
      <c r="W1037" s="8" t="s">
        <v>386</v>
      </c>
      <c r="X1037" s="6"/>
      <c r="Y1037" s="6" t="s">
        <v>30</v>
      </c>
      <c r="Z1037" s="6" t="s">
        <v>207</v>
      </c>
      <c r="AA1037" s="6" t="s">
        <v>485</v>
      </c>
      <c r="AB1037" s="8"/>
    </row>
    <row r="1038" spans="1:28" s="4" customFormat="1" ht="51.95" customHeight="1">
      <c r="A1038" s="5">
        <v>0</v>
      </c>
      <c r="B1038" s="6" t="s">
        <v>6727</v>
      </c>
      <c r="C1038" s="7">
        <v>1240</v>
      </c>
      <c r="D1038" s="8" t="s">
        <v>6728</v>
      </c>
      <c r="E1038" s="8" t="s">
        <v>6729</v>
      </c>
      <c r="F1038" s="8" t="s">
        <v>6730</v>
      </c>
      <c r="G1038" s="6" t="s">
        <v>90</v>
      </c>
      <c r="H1038" s="6" t="s">
        <v>54</v>
      </c>
      <c r="I1038" s="8" t="s">
        <v>40</v>
      </c>
      <c r="J1038" s="9">
        <v>1</v>
      </c>
      <c r="K1038" s="9">
        <v>232</v>
      </c>
      <c r="L1038" s="9">
        <v>2026</v>
      </c>
      <c r="M1038" s="8" t="s">
        <v>6731</v>
      </c>
      <c r="N1038" s="8" t="s">
        <v>42</v>
      </c>
      <c r="O1038" s="8" t="s">
        <v>43</v>
      </c>
      <c r="P1038" s="6" t="s">
        <v>44</v>
      </c>
      <c r="Q1038" s="8" t="s">
        <v>45</v>
      </c>
      <c r="R1038" s="10" t="s">
        <v>6732</v>
      </c>
      <c r="S1038" s="11" t="s">
        <v>963</v>
      </c>
      <c r="T1038" s="6"/>
      <c r="U1038" s="24" t="str">
        <f>HYPERLINK("https://media.infra-m.ru/2216/2216049/cover/2216049.jpg", "Обложка")</f>
        <v>Обложка</v>
      </c>
      <c r="V1038" s="24" t="str">
        <f>HYPERLINK("https://znanium.ru/catalog/product/2216049", "Ознакомиться")</f>
        <v>Ознакомиться</v>
      </c>
      <c r="W1038" s="8" t="s">
        <v>850</v>
      </c>
      <c r="X1038" s="6"/>
      <c r="Y1038" s="6"/>
      <c r="Z1038" s="6" t="s">
        <v>48</v>
      </c>
      <c r="AA1038" s="6" t="s">
        <v>111</v>
      </c>
      <c r="AB1038" s="8"/>
    </row>
    <row r="1039" spans="1:28" s="4" customFormat="1" ht="51.95" customHeight="1">
      <c r="A1039" s="5">
        <v>0</v>
      </c>
      <c r="B1039" s="6" t="s">
        <v>6733</v>
      </c>
      <c r="C1039" s="7">
        <v>2770</v>
      </c>
      <c r="D1039" s="8" t="s">
        <v>6734</v>
      </c>
      <c r="E1039" s="8" t="s">
        <v>6735</v>
      </c>
      <c r="F1039" s="8" t="s">
        <v>1070</v>
      </c>
      <c r="G1039" s="6" t="s">
        <v>38</v>
      </c>
      <c r="H1039" s="6" t="s">
        <v>54</v>
      </c>
      <c r="I1039" s="8" t="s">
        <v>40</v>
      </c>
      <c r="J1039" s="9">
        <v>1</v>
      </c>
      <c r="K1039" s="9">
        <v>602</v>
      </c>
      <c r="L1039" s="9">
        <v>2024</v>
      </c>
      <c r="M1039" s="8" t="s">
        <v>6736</v>
      </c>
      <c r="N1039" s="8" t="s">
        <v>42</v>
      </c>
      <c r="O1039" s="8" t="s">
        <v>43</v>
      </c>
      <c r="P1039" s="6" t="s">
        <v>44</v>
      </c>
      <c r="Q1039" s="8" t="s">
        <v>45</v>
      </c>
      <c r="R1039" s="10" t="s">
        <v>6737</v>
      </c>
      <c r="S1039" s="11" t="s">
        <v>6738</v>
      </c>
      <c r="T1039" s="6"/>
      <c r="U1039" s="24" t="str">
        <f>HYPERLINK("https://media.infra-m.ru/1942/1942679/cover/1942679.jpg", "Обложка")</f>
        <v>Обложка</v>
      </c>
      <c r="V1039" s="24" t="str">
        <f>HYPERLINK("https://znanium.ru/catalog/product/2171029", "Ознакомиться")</f>
        <v>Ознакомиться</v>
      </c>
      <c r="W1039" s="8" t="s">
        <v>73</v>
      </c>
      <c r="X1039" s="6"/>
      <c r="Y1039" s="6"/>
      <c r="Z1039" s="6" t="s">
        <v>48</v>
      </c>
      <c r="AA1039" s="6" t="s">
        <v>49</v>
      </c>
      <c r="AB1039" s="8"/>
    </row>
    <row r="1040" spans="1:28" s="4" customFormat="1" ht="51.95" customHeight="1">
      <c r="A1040" s="5">
        <v>0</v>
      </c>
      <c r="B1040" s="6" t="s">
        <v>6739</v>
      </c>
      <c r="C1040" s="7">
        <v>1180</v>
      </c>
      <c r="D1040" s="8" t="s">
        <v>6740</v>
      </c>
      <c r="E1040" s="8" t="s">
        <v>6741</v>
      </c>
      <c r="F1040" s="8" t="s">
        <v>1070</v>
      </c>
      <c r="G1040" s="6" t="s">
        <v>90</v>
      </c>
      <c r="H1040" s="6" t="s">
        <v>54</v>
      </c>
      <c r="I1040" s="8" t="s">
        <v>40</v>
      </c>
      <c r="J1040" s="9">
        <v>1</v>
      </c>
      <c r="K1040" s="9">
        <v>223</v>
      </c>
      <c r="L1040" s="9">
        <v>2023</v>
      </c>
      <c r="M1040" s="8" t="s">
        <v>6742</v>
      </c>
      <c r="N1040" s="8" t="s">
        <v>42</v>
      </c>
      <c r="O1040" s="8" t="s">
        <v>43</v>
      </c>
      <c r="P1040" s="6" t="s">
        <v>44</v>
      </c>
      <c r="Q1040" s="8" t="s">
        <v>45</v>
      </c>
      <c r="R1040" s="10" t="s">
        <v>6737</v>
      </c>
      <c r="S1040" s="11" t="s">
        <v>6738</v>
      </c>
      <c r="T1040" s="6"/>
      <c r="U1040" s="24" t="str">
        <f>HYPERLINK("https://media.infra-m.ru/2171/2171029/cover/2171029.jpg", "Обложка")</f>
        <v>Обложка</v>
      </c>
      <c r="V1040" s="24" t="str">
        <f>HYPERLINK("https://znanium.ru/catalog/product/2171029", "Ознакомиться")</f>
        <v>Ознакомиться</v>
      </c>
      <c r="W1040" s="8" t="s">
        <v>73</v>
      </c>
      <c r="X1040" s="6"/>
      <c r="Y1040" s="6"/>
      <c r="Z1040" s="6" t="s">
        <v>48</v>
      </c>
      <c r="AA1040" s="6" t="s">
        <v>740</v>
      </c>
      <c r="AB1040" s="8"/>
    </row>
    <row r="1041" spans="1:28" s="4" customFormat="1" ht="51.95" customHeight="1">
      <c r="A1041" s="5">
        <v>0</v>
      </c>
      <c r="B1041" s="6" t="s">
        <v>6743</v>
      </c>
      <c r="C1041" s="7">
        <v>2247</v>
      </c>
      <c r="D1041" s="8" t="s">
        <v>6744</v>
      </c>
      <c r="E1041" s="8" t="s">
        <v>6745</v>
      </c>
      <c r="F1041" s="8" t="s">
        <v>5196</v>
      </c>
      <c r="G1041" s="6" t="s">
        <v>90</v>
      </c>
      <c r="H1041" s="6" t="s">
        <v>39</v>
      </c>
      <c r="I1041" s="8" t="s">
        <v>40</v>
      </c>
      <c r="J1041" s="9">
        <v>1</v>
      </c>
      <c r="K1041" s="9">
        <v>319</v>
      </c>
      <c r="L1041" s="9">
        <v>2026</v>
      </c>
      <c r="M1041" s="8" t="s">
        <v>6746</v>
      </c>
      <c r="N1041" s="8" t="s">
        <v>42</v>
      </c>
      <c r="O1041" s="8" t="s">
        <v>169</v>
      </c>
      <c r="P1041" s="6" t="s">
        <v>58</v>
      </c>
      <c r="Q1041" s="8" t="s">
        <v>45</v>
      </c>
      <c r="R1041" s="10" t="s">
        <v>6747</v>
      </c>
      <c r="S1041" s="11" t="s">
        <v>6748</v>
      </c>
      <c r="T1041" s="6"/>
      <c r="U1041" s="24" t="str">
        <f>HYPERLINK("https://media.infra-m.ru/2213/2213293/cover/2213293.jpg", "Обложка")</f>
        <v>Обложка</v>
      </c>
      <c r="V1041" s="24" t="str">
        <f>HYPERLINK("https://znanium.ru/catalog/product/2141746", "Ознакомиться")</f>
        <v>Ознакомиться</v>
      </c>
      <c r="W1041" s="8" t="s">
        <v>172</v>
      </c>
      <c r="X1041" s="6"/>
      <c r="Y1041" s="6"/>
      <c r="Z1041" s="6" t="s">
        <v>48</v>
      </c>
      <c r="AA1041" s="6" t="s">
        <v>111</v>
      </c>
      <c r="AB1041" s="8"/>
    </row>
    <row r="1042" spans="1:28" s="4" customFormat="1" ht="51.95" customHeight="1">
      <c r="A1042" s="5">
        <v>0</v>
      </c>
      <c r="B1042" s="6" t="s">
        <v>6749</v>
      </c>
      <c r="C1042" s="13">
        <v>904</v>
      </c>
      <c r="D1042" s="8" t="s">
        <v>6750</v>
      </c>
      <c r="E1042" s="8" t="s">
        <v>6751</v>
      </c>
      <c r="F1042" s="8" t="s">
        <v>5424</v>
      </c>
      <c r="G1042" s="6" t="s">
        <v>38</v>
      </c>
      <c r="H1042" s="6" t="s">
        <v>39</v>
      </c>
      <c r="I1042" s="8" t="s">
        <v>40</v>
      </c>
      <c r="J1042" s="9">
        <v>1</v>
      </c>
      <c r="K1042" s="9">
        <v>174</v>
      </c>
      <c r="L1042" s="9">
        <v>2025</v>
      </c>
      <c r="M1042" s="8" t="s">
        <v>6752</v>
      </c>
      <c r="N1042" s="8" t="s">
        <v>125</v>
      </c>
      <c r="O1042" s="8" t="s">
        <v>4158</v>
      </c>
      <c r="P1042" s="6" t="s">
        <v>44</v>
      </c>
      <c r="Q1042" s="8" t="s">
        <v>45</v>
      </c>
      <c r="R1042" s="10" t="s">
        <v>6753</v>
      </c>
      <c r="S1042" s="11" t="s">
        <v>6754</v>
      </c>
      <c r="T1042" s="6"/>
      <c r="U1042" s="24" t="str">
        <f>HYPERLINK("https://media.infra-m.ru/2199/2199133/cover/2199133.jpg", "Обложка")</f>
        <v>Обложка</v>
      </c>
      <c r="V1042" s="24" t="str">
        <f>HYPERLINK("https://znanium.ru/catalog/product/1206685", "Ознакомиться")</f>
        <v>Ознакомиться</v>
      </c>
      <c r="W1042" s="8" t="s">
        <v>2502</v>
      </c>
      <c r="X1042" s="6"/>
      <c r="Y1042" s="6"/>
      <c r="Z1042" s="6" t="s">
        <v>48</v>
      </c>
      <c r="AA1042" s="6" t="s">
        <v>111</v>
      </c>
      <c r="AB1042" s="8"/>
    </row>
    <row r="1043" spans="1:28" s="4" customFormat="1" ht="51.95" customHeight="1">
      <c r="A1043" s="5">
        <v>0</v>
      </c>
      <c r="B1043" s="6" t="s">
        <v>6755</v>
      </c>
      <c r="C1043" s="13">
        <v>890</v>
      </c>
      <c r="D1043" s="8" t="s">
        <v>6756</v>
      </c>
      <c r="E1043" s="8" t="s">
        <v>6757</v>
      </c>
      <c r="F1043" s="8" t="s">
        <v>6758</v>
      </c>
      <c r="G1043" s="6" t="s">
        <v>90</v>
      </c>
      <c r="H1043" s="6" t="s">
        <v>54</v>
      </c>
      <c r="I1043" s="8" t="s">
        <v>40</v>
      </c>
      <c r="J1043" s="9">
        <v>1</v>
      </c>
      <c r="K1043" s="9">
        <v>248</v>
      </c>
      <c r="L1043" s="9">
        <v>2021</v>
      </c>
      <c r="M1043" s="8" t="s">
        <v>6759</v>
      </c>
      <c r="N1043" s="8" t="s">
        <v>125</v>
      </c>
      <c r="O1043" s="8" t="s">
        <v>4158</v>
      </c>
      <c r="P1043" s="6" t="s">
        <v>44</v>
      </c>
      <c r="Q1043" s="8" t="s">
        <v>45</v>
      </c>
      <c r="R1043" s="10" t="s">
        <v>1005</v>
      </c>
      <c r="S1043" s="11" t="s">
        <v>6760</v>
      </c>
      <c r="T1043" s="6"/>
      <c r="U1043" s="24" t="str">
        <f>HYPERLINK("https://media.infra-m.ru/1229/1229820/cover/1229820.jpg", "Обложка")</f>
        <v>Обложка</v>
      </c>
      <c r="V1043" s="24" t="str">
        <f>HYPERLINK("https://znanium.ru/catalog/product/1229820", "Ознакомиться")</f>
        <v>Ознакомиться</v>
      </c>
      <c r="W1043" s="8" t="s">
        <v>4459</v>
      </c>
      <c r="X1043" s="6"/>
      <c r="Y1043" s="6"/>
      <c r="Z1043" s="6" t="s">
        <v>48</v>
      </c>
      <c r="AA1043" s="6" t="s">
        <v>111</v>
      </c>
      <c r="AB1043" s="8"/>
    </row>
    <row r="1044" spans="1:28" s="4" customFormat="1" ht="51.95" customHeight="1">
      <c r="A1044" s="5">
        <v>0</v>
      </c>
      <c r="B1044" s="6" t="s">
        <v>6761</v>
      </c>
      <c r="C1044" s="13">
        <v>484</v>
      </c>
      <c r="D1044" s="8" t="s">
        <v>6762</v>
      </c>
      <c r="E1044" s="8" t="s">
        <v>6763</v>
      </c>
      <c r="F1044" s="8" t="s">
        <v>6764</v>
      </c>
      <c r="G1044" s="6" t="s">
        <v>67</v>
      </c>
      <c r="H1044" s="6" t="s">
        <v>39</v>
      </c>
      <c r="I1044" s="8" t="s">
        <v>69</v>
      </c>
      <c r="J1044" s="9">
        <v>1</v>
      </c>
      <c r="K1044" s="9">
        <v>72</v>
      </c>
      <c r="L1044" s="9">
        <v>2024</v>
      </c>
      <c r="M1044" s="8" t="s">
        <v>6765</v>
      </c>
      <c r="N1044" s="8" t="s">
        <v>125</v>
      </c>
      <c r="O1044" s="8" t="s">
        <v>4158</v>
      </c>
      <c r="P1044" s="6" t="s">
        <v>44</v>
      </c>
      <c r="Q1044" s="8" t="s">
        <v>45</v>
      </c>
      <c r="R1044" s="10" t="s">
        <v>3460</v>
      </c>
      <c r="S1044" s="11" t="s">
        <v>276</v>
      </c>
      <c r="T1044" s="6"/>
      <c r="U1044" s="24" t="str">
        <f>HYPERLINK("https://media.infra-m.ru/2187/2187050/cover/2187050.jpg", "Обложка")</f>
        <v>Обложка</v>
      </c>
      <c r="V1044" s="24" t="str">
        <f>HYPERLINK("https://znanium.ru/catalog/product/2048066", "Ознакомиться")</f>
        <v>Ознакомиться</v>
      </c>
      <c r="W1044" s="8" t="s">
        <v>293</v>
      </c>
      <c r="X1044" s="6"/>
      <c r="Y1044" s="6"/>
      <c r="Z1044" s="6"/>
      <c r="AA1044" s="6" t="s">
        <v>2008</v>
      </c>
      <c r="AB1044" s="8"/>
    </row>
    <row r="1045" spans="1:28" s="4" customFormat="1" ht="42" customHeight="1">
      <c r="A1045" s="5">
        <v>0</v>
      </c>
      <c r="B1045" s="6" t="s">
        <v>6766</v>
      </c>
      <c r="C1045" s="7">
        <v>1890</v>
      </c>
      <c r="D1045" s="8" t="s">
        <v>6767</v>
      </c>
      <c r="E1045" s="8" t="s">
        <v>6768</v>
      </c>
      <c r="F1045" s="8" t="s">
        <v>6769</v>
      </c>
      <c r="G1045" s="6" t="s">
        <v>90</v>
      </c>
      <c r="H1045" s="6" t="s">
        <v>54</v>
      </c>
      <c r="I1045" s="8" t="s">
        <v>40</v>
      </c>
      <c r="J1045" s="9">
        <v>1</v>
      </c>
      <c r="K1045" s="9">
        <v>372</v>
      </c>
      <c r="L1045" s="9">
        <v>2025</v>
      </c>
      <c r="M1045" s="8" t="s">
        <v>6770</v>
      </c>
      <c r="N1045" s="8" t="s">
        <v>125</v>
      </c>
      <c r="O1045" s="8" t="s">
        <v>4158</v>
      </c>
      <c r="P1045" s="6" t="s">
        <v>58</v>
      </c>
      <c r="Q1045" s="8" t="s">
        <v>45</v>
      </c>
      <c r="R1045" s="10" t="s">
        <v>6771</v>
      </c>
      <c r="S1045" s="11"/>
      <c r="T1045" s="6"/>
      <c r="U1045" s="24" t="str">
        <f>HYPERLINK("https://media.infra-m.ru/2169/2169870/cover/2169870.jpg", "Обложка")</f>
        <v>Обложка</v>
      </c>
      <c r="V1045" s="24" t="str">
        <f>HYPERLINK("https://znanium.ru/catalog/product/2169870", "Ознакомиться")</f>
        <v>Ознакомиться</v>
      </c>
      <c r="W1045" s="8" t="s">
        <v>3936</v>
      </c>
      <c r="X1045" s="6" t="s">
        <v>367</v>
      </c>
      <c r="Y1045" s="6"/>
      <c r="Z1045" s="6" t="s">
        <v>48</v>
      </c>
      <c r="AA1045" s="6" t="s">
        <v>1253</v>
      </c>
      <c r="AB1045" s="8"/>
    </row>
    <row r="1046" spans="1:28" s="4" customFormat="1" ht="51.95" customHeight="1">
      <c r="A1046" s="5">
        <v>0</v>
      </c>
      <c r="B1046" s="6" t="s">
        <v>6772</v>
      </c>
      <c r="C1046" s="7">
        <v>1404</v>
      </c>
      <c r="D1046" s="8" t="s">
        <v>6773</v>
      </c>
      <c r="E1046" s="8" t="s">
        <v>6774</v>
      </c>
      <c r="F1046" s="8" t="s">
        <v>6775</v>
      </c>
      <c r="G1046" s="6" t="s">
        <v>90</v>
      </c>
      <c r="H1046" s="6" t="s">
        <v>299</v>
      </c>
      <c r="I1046" s="8" t="s">
        <v>40</v>
      </c>
      <c r="J1046" s="9">
        <v>1</v>
      </c>
      <c r="K1046" s="9">
        <v>304</v>
      </c>
      <c r="L1046" s="9">
        <v>2024</v>
      </c>
      <c r="M1046" s="8" t="s">
        <v>6776</v>
      </c>
      <c r="N1046" s="8" t="s">
        <v>125</v>
      </c>
      <c r="O1046" s="8" t="s">
        <v>4158</v>
      </c>
      <c r="P1046" s="6" t="s">
        <v>58</v>
      </c>
      <c r="Q1046" s="8" t="s">
        <v>45</v>
      </c>
      <c r="R1046" s="10" t="s">
        <v>6777</v>
      </c>
      <c r="S1046" s="11" t="s">
        <v>512</v>
      </c>
      <c r="T1046" s="6"/>
      <c r="U1046" s="24" t="str">
        <f>HYPERLINK("https://media.infra-m.ru/2054/2054962/cover/2054962.jpg", "Обложка")</f>
        <v>Обложка</v>
      </c>
      <c r="V1046" s="24" t="str">
        <f>HYPERLINK("https://znanium.ru/catalog/product/1141798", "Ознакомиться")</f>
        <v>Ознакомиться</v>
      </c>
      <c r="W1046" s="8"/>
      <c r="X1046" s="6"/>
      <c r="Y1046" s="6"/>
      <c r="Z1046" s="6"/>
      <c r="AA1046" s="6" t="s">
        <v>507</v>
      </c>
      <c r="AB1046" s="8"/>
    </row>
    <row r="1047" spans="1:28" s="4" customFormat="1" ht="42" customHeight="1">
      <c r="A1047" s="5">
        <v>0</v>
      </c>
      <c r="B1047" s="6" t="s">
        <v>6778</v>
      </c>
      <c r="C1047" s="7">
        <v>1310</v>
      </c>
      <c r="D1047" s="8" t="s">
        <v>6779</v>
      </c>
      <c r="E1047" s="8" t="s">
        <v>6780</v>
      </c>
      <c r="F1047" s="8" t="s">
        <v>6781</v>
      </c>
      <c r="G1047" s="6" t="s">
        <v>38</v>
      </c>
      <c r="H1047" s="6" t="s">
        <v>54</v>
      </c>
      <c r="I1047" s="8" t="s">
        <v>40</v>
      </c>
      <c r="J1047" s="9">
        <v>1</v>
      </c>
      <c r="K1047" s="9">
        <v>254</v>
      </c>
      <c r="L1047" s="9">
        <v>2025</v>
      </c>
      <c r="M1047" s="8" t="s">
        <v>6782</v>
      </c>
      <c r="N1047" s="8" t="s">
        <v>56</v>
      </c>
      <c r="O1047" s="8" t="s">
        <v>57</v>
      </c>
      <c r="P1047" s="6" t="s">
        <v>44</v>
      </c>
      <c r="Q1047" s="8" t="s">
        <v>45</v>
      </c>
      <c r="R1047" s="10" t="s">
        <v>6783</v>
      </c>
      <c r="S1047" s="11"/>
      <c r="T1047" s="6"/>
      <c r="U1047" s="24" t="str">
        <f>HYPERLINK("https://media.infra-m.ru/2170/2170688/cover/2170688.jpg", "Обложка")</f>
        <v>Обложка</v>
      </c>
      <c r="V1047" s="24" t="str">
        <f>HYPERLINK("https://znanium.ru/catalog/product/2170688", "Ознакомиться")</f>
        <v>Ознакомиться</v>
      </c>
      <c r="W1047" s="8" t="s">
        <v>6784</v>
      </c>
      <c r="X1047" s="6" t="s">
        <v>367</v>
      </c>
      <c r="Y1047" s="6"/>
      <c r="Z1047" s="6" t="s">
        <v>207</v>
      </c>
      <c r="AA1047" s="6" t="s">
        <v>84</v>
      </c>
      <c r="AB1047" s="8"/>
    </row>
    <row r="1048" spans="1:28" s="4" customFormat="1" ht="51.95" customHeight="1">
      <c r="A1048" s="5">
        <v>0</v>
      </c>
      <c r="B1048" s="6" t="s">
        <v>6785</v>
      </c>
      <c r="C1048" s="7">
        <v>1784</v>
      </c>
      <c r="D1048" s="8" t="s">
        <v>6786</v>
      </c>
      <c r="E1048" s="8" t="s">
        <v>6787</v>
      </c>
      <c r="F1048" s="8" t="s">
        <v>6788</v>
      </c>
      <c r="G1048" s="6" t="s">
        <v>90</v>
      </c>
      <c r="H1048" s="6" t="s">
        <v>54</v>
      </c>
      <c r="I1048" s="8" t="s">
        <v>40</v>
      </c>
      <c r="J1048" s="9">
        <v>1</v>
      </c>
      <c r="K1048" s="9">
        <v>357</v>
      </c>
      <c r="L1048" s="9">
        <v>2024</v>
      </c>
      <c r="M1048" s="8" t="s">
        <v>6789</v>
      </c>
      <c r="N1048" s="8" t="s">
        <v>125</v>
      </c>
      <c r="O1048" s="8" t="s">
        <v>126</v>
      </c>
      <c r="P1048" s="6" t="s">
        <v>44</v>
      </c>
      <c r="Q1048" s="8" t="s">
        <v>45</v>
      </c>
      <c r="R1048" s="10" t="s">
        <v>6790</v>
      </c>
      <c r="S1048" s="11" t="s">
        <v>6791</v>
      </c>
      <c r="T1048" s="6"/>
      <c r="U1048" s="24" t="str">
        <f>HYPERLINK("https://media.infra-m.ru/2104/2104834/cover/2104834.jpg", "Обложка")</f>
        <v>Обложка</v>
      </c>
      <c r="V1048" s="24" t="str">
        <f>HYPERLINK("https://znanium.ru/catalog/product/2040895", "Ознакомиться")</f>
        <v>Ознакомиться</v>
      </c>
      <c r="W1048" s="8" t="s">
        <v>82</v>
      </c>
      <c r="X1048" s="6"/>
      <c r="Y1048" s="6" t="s">
        <v>30</v>
      </c>
      <c r="Z1048" s="6" t="s">
        <v>48</v>
      </c>
      <c r="AA1048" s="6" t="s">
        <v>2226</v>
      </c>
      <c r="AB1048" s="8"/>
    </row>
    <row r="1049" spans="1:28" s="4" customFormat="1" ht="51.95" customHeight="1">
      <c r="A1049" s="5">
        <v>0</v>
      </c>
      <c r="B1049" s="6" t="s">
        <v>6792</v>
      </c>
      <c r="C1049" s="7">
        <v>1299.9000000000001</v>
      </c>
      <c r="D1049" s="8" t="s">
        <v>6793</v>
      </c>
      <c r="E1049" s="8" t="s">
        <v>6794</v>
      </c>
      <c r="F1049" s="8" t="s">
        <v>6795</v>
      </c>
      <c r="G1049" s="6" t="s">
        <v>38</v>
      </c>
      <c r="H1049" s="6" t="s">
        <v>54</v>
      </c>
      <c r="I1049" s="8" t="s">
        <v>40</v>
      </c>
      <c r="J1049" s="9">
        <v>1</v>
      </c>
      <c r="K1049" s="9">
        <v>444</v>
      </c>
      <c r="L1049" s="9">
        <v>2017</v>
      </c>
      <c r="M1049" s="8" t="s">
        <v>6796</v>
      </c>
      <c r="N1049" s="8" t="s">
        <v>42</v>
      </c>
      <c r="O1049" s="8" t="s">
        <v>187</v>
      </c>
      <c r="P1049" s="6" t="s">
        <v>58</v>
      </c>
      <c r="Q1049" s="8" t="s">
        <v>45</v>
      </c>
      <c r="R1049" s="10" t="s">
        <v>6797</v>
      </c>
      <c r="S1049" s="11" t="s">
        <v>4077</v>
      </c>
      <c r="T1049" s="6"/>
      <c r="U1049" s="24" t="str">
        <f>HYPERLINK("https://media.infra-m.ru/0773/0773849/cover/773849.jpg", "Обложка")</f>
        <v>Обложка</v>
      </c>
      <c r="V1049" s="24" t="str">
        <f>HYPERLINK("https://znanium.ru/catalog/product/2215380", "Ознакомиться")</f>
        <v>Ознакомиться</v>
      </c>
      <c r="W1049" s="8" t="s">
        <v>6798</v>
      </c>
      <c r="X1049" s="6"/>
      <c r="Y1049" s="6"/>
      <c r="Z1049" s="6"/>
      <c r="AA1049" s="6" t="s">
        <v>2166</v>
      </c>
      <c r="AB1049" s="8"/>
    </row>
    <row r="1050" spans="1:28" s="4" customFormat="1" ht="51.95" customHeight="1">
      <c r="A1050" s="5">
        <v>0</v>
      </c>
      <c r="B1050" s="6" t="s">
        <v>6799</v>
      </c>
      <c r="C1050" s="7">
        <v>2330</v>
      </c>
      <c r="D1050" s="8" t="s">
        <v>6800</v>
      </c>
      <c r="E1050" s="8" t="s">
        <v>6801</v>
      </c>
      <c r="F1050" s="8" t="s">
        <v>6802</v>
      </c>
      <c r="G1050" s="6" t="s">
        <v>38</v>
      </c>
      <c r="H1050" s="6" t="s">
        <v>54</v>
      </c>
      <c r="I1050" s="8" t="s">
        <v>40</v>
      </c>
      <c r="J1050" s="9">
        <v>1</v>
      </c>
      <c r="K1050" s="9">
        <v>447</v>
      </c>
      <c r="L1050" s="9">
        <v>2026</v>
      </c>
      <c r="M1050" s="8" t="s">
        <v>6803</v>
      </c>
      <c r="N1050" s="8" t="s">
        <v>42</v>
      </c>
      <c r="O1050" s="8" t="s">
        <v>187</v>
      </c>
      <c r="P1050" s="6" t="s">
        <v>58</v>
      </c>
      <c r="Q1050" s="8" t="s">
        <v>45</v>
      </c>
      <c r="R1050" s="10" t="s">
        <v>6797</v>
      </c>
      <c r="S1050" s="11" t="s">
        <v>4077</v>
      </c>
      <c r="T1050" s="6"/>
      <c r="U1050" s="24" t="str">
        <f>HYPERLINK("https://media.infra-m.ru/2215/2215380/cover/2215380.jpg", "Обложка")</f>
        <v>Обложка</v>
      </c>
      <c r="V1050" s="24" t="str">
        <f>HYPERLINK("https://znanium.ru/catalog/product/2215380", "Ознакомиться")</f>
        <v>Ознакомиться</v>
      </c>
      <c r="W1050" s="8" t="s">
        <v>6804</v>
      </c>
      <c r="X1050" s="6"/>
      <c r="Y1050" s="6"/>
      <c r="Z1050" s="6"/>
      <c r="AA1050" s="6" t="s">
        <v>393</v>
      </c>
      <c r="AB1050" s="8"/>
    </row>
    <row r="1051" spans="1:28" s="4" customFormat="1" ht="51.95" customHeight="1">
      <c r="A1051" s="5">
        <v>0</v>
      </c>
      <c r="B1051" s="6" t="s">
        <v>6805</v>
      </c>
      <c r="C1051" s="7">
        <v>1098</v>
      </c>
      <c r="D1051" s="8" t="s">
        <v>6806</v>
      </c>
      <c r="E1051" s="8" t="s">
        <v>6807</v>
      </c>
      <c r="F1051" s="8" t="s">
        <v>6802</v>
      </c>
      <c r="G1051" s="6" t="s">
        <v>67</v>
      </c>
      <c r="H1051" s="6" t="s">
        <v>68</v>
      </c>
      <c r="I1051" s="8" t="s">
        <v>69</v>
      </c>
      <c r="J1051" s="9">
        <v>1</v>
      </c>
      <c r="K1051" s="9">
        <v>236</v>
      </c>
      <c r="L1051" s="9">
        <v>2026</v>
      </c>
      <c r="M1051" s="8" t="s">
        <v>6808</v>
      </c>
      <c r="N1051" s="8" t="s">
        <v>42</v>
      </c>
      <c r="O1051" s="8" t="s">
        <v>187</v>
      </c>
      <c r="P1051" s="6" t="s">
        <v>44</v>
      </c>
      <c r="Q1051" s="8" t="s">
        <v>45</v>
      </c>
      <c r="R1051" s="10" t="s">
        <v>6809</v>
      </c>
      <c r="S1051" s="11" t="s">
        <v>6810</v>
      </c>
      <c r="T1051" s="6"/>
      <c r="U1051" s="24" t="str">
        <f>HYPERLINK("https://media.infra-m.ru/2218/2218206/cover/2218206.jpg", "Обложка")</f>
        <v>Обложка</v>
      </c>
      <c r="V1051" s="24" t="str">
        <f>HYPERLINK("https://znanium.ru/catalog/product/1865720", "Ознакомиться")</f>
        <v>Ознакомиться</v>
      </c>
      <c r="W1051" s="8" t="s">
        <v>6804</v>
      </c>
      <c r="X1051" s="6"/>
      <c r="Y1051" s="6"/>
      <c r="Z1051" s="6"/>
      <c r="AA1051" s="6" t="s">
        <v>237</v>
      </c>
      <c r="AB1051" s="8"/>
    </row>
    <row r="1052" spans="1:28" s="4" customFormat="1" ht="51.95" customHeight="1">
      <c r="A1052" s="5">
        <v>0</v>
      </c>
      <c r="B1052" s="6" t="s">
        <v>6811</v>
      </c>
      <c r="C1052" s="7">
        <v>1400</v>
      </c>
      <c r="D1052" s="8" t="s">
        <v>6812</v>
      </c>
      <c r="E1052" s="8" t="s">
        <v>6813</v>
      </c>
      <c r="F1052" s="8" t="s">
        <v>6814</v>
      </c>
      <c r="G1052" s="6" t="s">
        <v>90</v>
      </c>
      <c r="H1052" s="6" t="s">
        <v>54</v>
      </c>
      <c r="I1052" s="8" t="s">
        <v>40</v>
      </c>
      <c r="J1052" s="9">
        <v>1</v>
      </c>
      <c r="K1052" s="9">
        <v>256</v>
      </c>
      <c r="L1052" s="9">
        <v>2026</v>
      </c>
      <c r="M1052" s="8" t="s">
        <v>6815</v>
      </c>
      <c r="N1052" s="8" t="s">
        <v>42</v>
      </c>
      <c r="O1052" s="8" t="s">
        <v>187</v>
      </c>
      <c r="P1052" s="6" t="s">
        <v>44</v>
      </c>
      <c r="Q1052" s="8" t="s">
        <v>45</v>
      </c>
      <c r="R1052" s="10" t="s">
        <v>6816</v>
      </c>
      <c r="S1052" s="11" t="s">
        <v>6817</v>
      </c>
      <c r="T1052" s="6"/>
      <c r="U1052" s="24" t="str">
        <f>HYPERLINK("https://media.infra-m.ru/2221/2221040/cover/2221040.jpg", "Обложка")</f>
        <v>Обложка</v>
      </c>
      <c r="V1052" s="24" t="str">
        <f>HYPERLINK("https://znanium.ru/catalog/product/2221040", "Ознакомиться")</f>
        <v>Ознакомиться</v>
      </c>
      <c r="W1052" s="8" t="s">
        <v>6818</v>
      </c>
      <c r="X1052" s="6"/>
      <c r="Y1052" s="6" t="s">
        <v>30</v>
      </c>
      <c r="Z1052" s="6" t="s">
        <v>48</v>
      </c>
      <c r="AA1052" s="6" t="s">
        <v>740</v>
      </c>
      <c r="AB1052" s="8"/>
    </row>
    <row r="1053" spans="1:28" s="4" customFormat="1" ht="51.95" customHeight="1">
      <c r="A1053" s="5">
        <v>0</v>
      </c>
      <c r="B1053" s="6" t="s">
        <v>6819</v>
      </c>
      <c r="C1053" s="7">
        <v>2814</v>
      </c>
      <c r="D1053" s="8" t="s">
        <v>6820</v>
      </c>
      <c r="E1053" s="8" t="s">
        <v>6821</v>
      </c>
      <c r="F1053" s="8" t="s">
        <v>6822</v>
      </c>
      <c r="G1053" s="6" t="s">
        <v>38</v>
      </c>
      <c r="H1053" s="6" t="s">
        <v>54</v>
      </c>
      <c r="I1053" s="8" t="s">
        <v>40</v>
      </c>
      <c r="J1053" s="9">
        <v>1</v>
      </c>
      <c r="K1053" s="9">
        <v>533</v>
      </c>
      <c r="L1053" s="9">
        <v>2026</v>
      </c>
      <c r="M1053" s="8" t="s">
        <v>6823</v>
      </c>
      <c r="N1053" s="8" t="s">
        <v>42</v>
      </c>
      <c r="O1053" s="8" t="s">
        <v>187</v>
      </c>
      <c r="P1053" s="6" t="s">
        <v>58</v>
      </c>
      <c r="Q1053" s="8" t="s">
        <v>45</v>
      </c>
      <c r="R1053" s="10" t="s">
        <v>6824</v>
      </c>
      <c r="S1053" s="11" t="s">
        <v>6825</v>
      </c>
      <c r="T1053" s="6"/>
      <c r="U1053" s="24" t="str">
        <f>HYPERLINK("https://media.infra-m.ru/2222/2222609/cover/2222609.jpg", "Обложка")</f>
        <v>Обложка</v>
      </c>
      <c r="V1053" s="24" t="str">
        <f>HYPERLINK("https://znanium.ru/catalog/product/2216334", "Ознакомиться")</f>
        <v>Ознакомиться</v>
      </c>
      <c r="W1053" s="8" t="s">
        <v>2143</v>
      </c>
      <c r="X1053" s="6"/>
      <c r="Y1053" s="6" t="s">
        <v>30</v>
      </c>
      <c r="Z1053" s="6" t="s">
        <v>48</v>
      </c>
      <c r="AA1053" s="6" t="s">
        <v>129</v>
      </c>
      <c r="AB1053" s="8"/>
    </row>
    <row r="1054" spans="1:28" s="4" customFormat="1" ht="51.95" customHeight="1">
      <c r="A1054" s="5">
        <v>0</v>
      </c>
      <c r="B1054" s="6" t="s">
        <v>6826</v>
      </c>
      <c r="C1054" s="7">
        <v>1347</v>
      </c>
      <c r="D1054" s="8" t="s">
        <v>6827</v>
      </c>
      <c r="E1054" s="8" t="s">
        <v>6828</v>
      </c>
      <c r="F1054" s="8" t="s">
        <v>6829</v>
      </c>
      <c r="G1054" s="6" t="s">
        <v>38</v>
      </c>
      <c r="H1054" s="6" t="s">
        <v>39</v>
      </c>
      <c r="I1054" s="8" t="s">
        <v>40</v>
      </c>
      <c r="J1054" s="9">
        <v>1</v>
      </c>
      <c r="K1054" s="9">
        <v>205</v>
      </c>
      <c r="L1054" s="9">
        <v>2025</v>
      </c>
      <c r="M1054" s="8" t="s">
        <v>6830</v>
      </c>
      <c r="N1054" s="8" t="s">
        <v>56</v>
      </c>
      <c r="O1054" s="8" t="s">
        <v>807</v>
      </c>
      <c r="P1054" s="6" t="s">
        <v>58</v>
      </c>
      <c r="Q1054" s="8" t="s">
        <v>45</v>
      </c>
      <c r="R1054" s="10" t="s">
        <v>6831</v>
      </c>
      <c r="S1054" s="11" t="s">
        <v>6832</v>
      </c>
      <c r="T1054" s="6"/>
      <c r="U1054" s="24" t="str">
        <f>HYPERLINK("https://media.infra-m.ru/2163/2163990/cover/2163990.jpg", "Обложка")</f>
        <v>Обложка</v>
      </c>
      <c r="V1054" s="24" t="str">
        <f>HYPERLINK("https://znanium.ru/catalog/product/2140251", "Ознакомиться")</f>
        <v>Ознакомиться</v>
      </c>
      <c r="W1054" s="8" t="s">
        <v>2136</v>
      </c>
      <c r="X1054" s="6"/>
      <c r="Y1054" s="6"/>
      <c r="Z1054" s="6" t="s">
        <v>48</v>
      </c>
      <c r="AA1054" s="6" t="s">
        <v>111</v>
      </c>
      <c r="AB1054" s="8"/>
    </row>
    <row r="1055" spans="1:28" s="4" customFormat="1" ht="51.95" customHeight="1">
      <c r="A1055" s="5">
        <v>0</v>
      </c>
      <c r="B1055" s="6" t="s">
        <v>6833</v>
      </c>
      <c r="C1055" s="7">
        <v>1150</v>
      </c>
      <c r="D1055" s="8" t="s">
        <v>6834</v>
      </c>
      <c r="E1055" s="8" t="s">
        <v>6835</v>
      </c>
      <c r="F1055" s="8" t="s">
        <v>6836</v>
      </c>
      <c r="G1055" s="6" t="s">
        <v>90</v>
      </c>
      <c r="H1055" s="6" t="s">
        <v>54</v>
      </c>
      <c r="I1055" s="8" t="s">
        <v>40</v>
      </c>
      <c r="J1055" s="9">
        <v>1</v>
      </c>
      <c r="K1055" s="9">
        <v>221</v>
      </c>
      <c r="L1055" s="9">
        <v>2025</v>
      </c>
      <c r="M1055" s="8" t="s">
        <v>6837</v>
      </c>
      <c r="N1055" s="8" t="s">
        <v>42</v>
      </c>
      <c r="O1055" s="8" t="s">
        <v>187</v>
      </c>
      <c r="P1055" s="6" t="s">
        <v>44</v>
      </c>
      <c r="Q1055" s="8" t="s">
        <v>45</v>
      </c>
      <c r="R1055" s="10" t="s">
        <v>6838</v>
      </c>
      <c r="S1055" s="11" t="s">
        <v>6839</v>
      </c>
      <c r="T1055" s="6"/>
      <c r="U1055" s="24" t="str">
        <f>HYPERLINK("https://media.infra-m.ru/2192/2192598/cover/2192598.jpg", "Обложка")</f>
        <v>Обложка</v>
      </c>
      <c r="V1055" s="24" t="str">
        <f>HYPERLINK("https://znanium.ru/catalog/product/2192598", "Ознакомиться")</f>
        <v>Ознакомиться</v>
      </c>
      <c r="W1055" s="8" t="s">
        <v>190</v>
      </c>
      <c r="X1055" s="6"/>
      <c r="Y1055" s="6"/>
      <c r="Z1055" s="6"/>
      <c r="AA1055" s="6" t="s">
        <v>988</v>
      </c>
      <c r="AB1055" s="8"/>
    </row>
    <row r="1056" spans="1:28" s="4" customFormat="1" ht="51.95" customHeight="1">
      <c r="A1056" s="5">
        <v>0</v>
      </c>
      <c r="B1056" s="6" t="s">
        <v>6840</v>
      </c>
      <c r="C1056" s="13">
        <v>914.9</v>
      </c>
      <c r="D1056" s="8" t="s">
        <v>6841</v>
      </c>
      <c r="E1056" s="8" t="s">
        <v>6842</v>
      </c>
      <c r="F1056" s="8" t="s">
        <v>4288</v>
      </c>
      <c r="G1056" s="6" t="s">
        <v>38</v>
      </c>
      <c r="H1056" s="6" t="s">
        <v>54</v>
      </c>
      <c r="I1056" s="8" t="s">
        <v>40</v>
      </c>
      <c r="J1056" s="9">
        <v>1</v>
      </c>
      <c r="K1056" s="9">
        <v>204</v>
      </c>
      <c r="L1056" s="9">
        <v>2023</v>
      </c>
      <c r="M1056" s="8" t="s">
        <v>6843</v>
      </c>
      <c r="N1056" s="8" t="s">
        <v>125</v>
      </c>
      <c r="O1056" s="8" t="s">
        <v>432</v>
      </c>
      <c r="P1056" s="6" t="s">
        <v>58</v>
      </c>
      <c r="Q1056" s="8" t="s">
        <v>45</v>
      </c>
      <c r="R1056" s="10" t="s">
        <v>4658</v>
      </c>
      <c r="S1056" s="11" t="s">
        <v>6844</v>
      </c>
      <c r="T1056" s="6"/>
      <c r="U1056" s="24" t="str">
        <f>HYPERLINK("https://media.infra-m.ru/1976/1976141/cover/1976141.jpg", "Обложка")</f>
        <v>Обложка</v>
      </c>
      <c r="V1056" s="24" t="str">
        <f>HYPERLINK("https://znanium.ru/catalog/product/1020430", "Ознакомиться")</f>
        <v>Ознакомиться</v>
      </c>
      <c r="W1056" s="8" t="s">
        <v>909</v>
      </c>
      <c r="X1056" s="6"/>
      <c r="Y1056" s="6"/>
      <c r="Z1056" s="6"/>
      <c r="AA1056" s="6" t="s">
        <v>740</v>
      </c>
      <c r="AB1056" s="8"/>
    </row>
    <row r="1057" spans="1:28" s="4" customFormat="1" ht="51.95" customHeight="1">
      <c r="A1057" s="5">
        <v>0</v>
      </c>
      <c r="B1057" s="6" t="s">
        <v>6845</v>
      </c>
      <c r="C1057" s="7">
        <v>1660</v>
      </c>
      <c r="D1057" s="8" t="s">
        <v>6846</v>
      </c>
      <c r="E1057" s="8" t="s">
        <v>6847</v>
      </c>
      <c r="F1057" s="8" t="s">
        <v>6848</v>
      </c>
      <c r="G1057" s="6" t="s">
        <v>90</v>
      </c>
      <c r="H1057" s="6" t="s">
        <v>54</v>
      </c>
      <c r="I1057" s="8" t="s">
        <v>40</v>
      </c>
      <c r="J1057" s="9">
        <v>1</v>
      </c>
      <c r="K1057" s="9">
        <v>318</v>
      </c>
      <c r="L1057" s="9">
        <v>2026</v>
      </c>
      <c r="M1057" s="8" t="s">
        <v>6849</v>
      </c>
      <c r="N1057" s="8" t="s">
        <v>42</v>
      </c>
      <c r="O1057" s="8" t="s">
        <v>553</v>
      </c>
      <c r="P1057" s="6" t="s">
        <v>44</v>
      </c>
      <c r="Q1057" s="8" t="s">
        <v>45</v>
      </c>
      <c r="R1057" s="10" t="s">
        <v>4248</v>
      </c>
      <c r="S1057" s="11" t="s">
        <v>6850</v>
      </c>
      <c r="T1057" s="6"/>
      <c r="U1057" s="24" t="str">
        <f>HYPERLINK("https://media.infra-m.ru/2219/2219018/cover/2219018.jpg", "Обложка")</f>
        <v>Обложка</v>
      </c>
      <c r="V1057" s="24" t="str">
        <f>HYPERLINK("https://znanium.ru/catalog/product/2219018", "Ознакомиться")</f>
        <v>Ознакомиться</v>
      </c>
      <c r="W1057" s="8" t="s">
        <v>3066</v>
      </c>
      <c r="X1057" s="6"/>
      <c r="Y1057" s="6"/>
      <c r="Z1057" s="6"/>
      <c r="AA1057" s="6" t="s">
        <v>330</v>
      </c>
      <c r="AB1057" s="8"/>
    </row>
    <row r="1058" spans="1:28" s="4" customFormat="1" ht="51.95" customHeight="1">
      <c r="A1058" s="5">
        <v>0</v>
      </c>
      <c r="B1058" s="6" t="s">
        <v>6851</v>
      </c>
      <c r="C1058" s="7">
        <v>1090</v>
      </c>
      <c r="D1058" s="8" t="s">
        <v>6852</v>
      </c>
      <c r="E1058" s="8" t="s">
        <v>6853</v>
      </c>
      <c r="F1058" s="8" t="s">
        <v>6854</v>
      </c>
      <c r="G1058" s="6" t="s">
        <v>90</v>
      </c>
      <c r="H1058" s="6" t="s">
        <v>39</v>
      </c>
      <c r="I1058" s="8" t="s">
        <v>40</v>
      </c>
      <c r="J1058" s="9">
        <v>1</v>
      </c>
      <c r="K1058" s="9">
        <v>352</v>
      </c>
      <c r="L1058" s="9">
        <v>2018</v>
      </c>
      <c r="M1058" s="8" t="s">
        <v>6855</v>
      </c>
      <c r="N1058" s="8" t="s">
        <v>42</v>
      </c>
      <c r="O1058" s="8" t="s">
        <v>553</v>
      </c>
      <c r="P1058" s="6" t="s">
        <v>44</v>
      </c>
      <c r="Q1058" s="8" t="s">
        <v>45</v>
      </c>
      <c r="R1058" s="10" t="s">
        <v>4248</v>
      </c>
      <c r="S1058" s="11" t="s">
        <v>6856</v>
      </c>
      <c r="T1058" s="6"/>
      <c r="U1058" s="24" t="str">
        <f>HYPERLINK("https://media.infra-m.ru/0915/0915568/cover/915568.jpg", "Обложка")</f>
        <v>Обложка</v>
      </c>
      <c r="V1058" s="24" t="str">
        <f>HYPERLINK("https://znanium.ru/catalog/product/2219018", "Ознакомиться")</f>
        <v>Ознакомиться</v>
      </c>
      <c r="W1058" s="8" t="s">
        <v>3066</v>
      </c>
      <c r="X1058" s="6"/>
      <c r="Y1058" s="6"/>
      <c r="Z1058" s="6"/>
      <c r="AA1058" s="6" t="s">
        <v>3228</v>
      </c>
      <c r="AB1058" s="8"/>
    </row>
    <row r="1059" spans="1:28" s="4" customFormat="1" ht="51.95" customHeight="1">
      <c r="A1059" s="5">
        <v>0</v>
      </c>
      <c r="B1059" s="6" t="s">
        <v>6857</v>
      </c>
      <c r="C1059" s="7">
        <v>3150</v>
      </c>
      <c r="D1059" s="8" t="s">
        <v>6858</v>
      </c>
      <c r="E1059" s="8" t="s">
        <v>6859</v>
      </c>
      <c r="F1059" s="8" t="s">
        <v>6860</v>
      </c>
      <c r="G1059" s="6" t="s">
        <v>38</v>
      </c>
      <c r="H1059" s="6" t="s">
        <v>54</v>
      </c>
      <c r="I1059" s="8" t="s">
        <v>40</v>
      </c>
      <c r="J1059" s="9">
        <v>1</v>
      </c>
      <c r="K1059" s="9">
        <v>573</v>
      </c>
      <c r="L1059" s="9">
        <v>2026</v>
      </c>
      <c r="M1059" s="8" t="s">
        <v>6861</v>
      </c>
      <c r="N1059" s="8" t="s">
        <v>125</v>
      </c>
      <c r="O1059" s="8" t="s">
        <v>1380</v>
      </c>
      <c r="P1059" s="6" t="s">
        <v>58</v>
      </c>
      <c r="Q1059" s="8" t="s">
        <v>45</v>
      </c>
      <c r="R1059" s="10" t="s">
        <v>2884</v>
      </c>
      <c r="S1059" s="11" t="s">
        <v>6862</v>
      </c>
      <c r="T1059" s="6"/>
      <c r="U1059" s="24" t="str">
        <f>HYPERLINK("https://media.infra-m.ru/2227/2227857/cover/2227857.jpg", "Обложка")</f>
        <v>Обложка</v>
      </c>
      <c r="V1059" s="24" t="str">
        <f>HYPERLINK("https://znanium.ru/catalog/product/2227857", "Ознакомиться")</f>
        <v>Ознакомиться</v>
      </c>
      <c r="W1059" s="8" t="s">
        <v>5627</v>
      </c>
      <c r="X1059" s="6"/>
      <c r="Y1059" s="6"/>
      <c r="Z1059" s="6" t="s">
        <v>929</v>
      </c>
      <c r="AA1059" s="6" t="s">
        <v>500</v>
      </c>
      <c r="AB1059" s="8"/>
    </row>
    <row r="1060" spans="1:28" s="4" customFormat="1" ht="51.95" customHeight="1">
      <c r="A1060" s="5">
        <v>0</v>
      </c>
      <c r="B1060" s="6" t="s">
        <v>6863</v>
      </c>
      <c r="C1060" s="7">
        <v>2334</v>
      </c>
      <c r="D1060" s="8" t="s">
        <v>6864</v>
      </c>
      <c r="E1060" s="8" t="s">
        <v>6865</v>
      </c>
      <c r="F1060" s="8" t="s">
        <v>6866</v>
      </c>
      <c r="G1060" s="6" t="s">
        <v>90</v>
      </c>
      <c r="H1060" s="6" t="s">
        <v>54</v>
      </c>
      <c r="I1060" s="8" t="s">
        <v>40</v>
      </c>
      <c r="J1060" s="9">
        <v>1</v>
      </c>
      <c r="K1060" s="9">
        <v>508</v>
      </c>
      <c r="L1060" s="9">
        <v>2024</v>
      </c>
      <c r="M1060" s="8" t="s">
        <v>6867</v>
      </c>
      <c r="N1060" s="8" t="s">
        <v>1306</v>
      </c>
      <c r="O1060" s="8" t="s">
        <v>1307</v>
      </c>
      <c r="P1060" s="6" t="s">
        <v>44</v>
      </c>
      <c r="Q1060" s="8" t="s">
        <v>45</v>
      </c>
      <c r="R1060" s="10" t="s">
        <v>6868</v>
      </c>
      <c r="S1060" s="11" t="s">
        <v>6869</v>
      </c>
      <c r="T1060" s="6"/>
      <c r="U1060" s="24" t="str">
        <f>HYPERLINK("https://media.infra-m.ru/2100/2100006/cover/2100006.jpg", "Обложка")</f>
        <v>Обложка</v>
      </c>
      <c r="V1060" s="24" t="str">
        <f>HYPERLINK("https://znanium.ru/catalog/product/2100005", "Ознакомиться")</f>
        <v>Ознакомиться</v>
      </c>
      <c r="W1060" s="8" t="s">
        <v>1560</v>
      </c>
      <c r="X1060" s="6"/>
      <c r="Y1060" s="6"/>
      <c r="Z1060" s="6" t="s">
        <v>48</v>
      </c>
      <c r="AA1060" s="6" t="s">
        <v>74</v>
      </c>
      <c r="AB1060" s="8"/>
    </row>
    <row r="1061" spans="1:28" s="4" customFormat="1" ht="51.95" customHeight="1">
      <c r="A1061" s="5">
        <v>0</v>
      </c>
      <c r="B1061" s="6" t="s">
        <v>6870</v>
      </c>
      <c r="C1061" s="13">
        <v>884</v>
      </c>
      <c r="D1061" s="8" t="s">
        <v>6871</v>
      </c>
      <c r="E1061" s="8" t="s">
        <v>6872</v>
      </c>
      <c r="F1061" s="8" t="s">
        <v>6873</v>
      </c>
      <c r="G1061" s="6" t="s">
        <v>90</v>
      </c>
      <c r="H1061" s="6" t="s">
        <v>39</v>
      </c>
      <c r="I1061" s="8" t="s">
        <v>40</v>
      </c>
      <c r="J1061" s="9">
        <v>1</v>
      </c>
      <c r="K1061" s="9">
        <v>192</v>
      </c>
      <c r="L1061" s="9">
        <v>2024</v>
      </c>
      <c r="M1061" s="8" t="s">
        <v>6874</v>
      </c>
      <c r="N1061" s="8" t="s">
        <v>42</v>
      </c>
      <c r="O1061" s="8" t="s">
        <v>219</v>
      </c>
      <c r="P1061" s="6" t="s">
        <v>44</v>
      </c>
      <c r="Q1061" s="8" t="s">
        <v>45</v>
      </c>
      <c r="R1061" s="10" t="s">
        <v>6875</v>
      </c>
      <c r="S1061" s="11" t="s">
        <v>1391</v>
      </c>
      <c r="T1061" s="6"/>
      <c r="U1061" s="24" t="str">
        <f>HYPERLINK("https://media.infra-m.ru/2079/2079243/cover/2079243.jpg", "Обложка")</f>
        <v>Обложка</v>
      </c>
      <c r="V1061" s="24" t="str">
        <f>HYPERLINK("https://znanium.ru/catalog/product/1226469", "Ознакомиться")</f>
        <v>Ознакомиться</v>
      </c>
      <c r="W1061" s="8" t="s">
        <v>277</v>
      </c>
      <c r="X1061" s="6"/>
      <c r="Y1061" s="6"/>
      <c r="Z1061" s="6"/>
      <c r="AA1061" s="6" t="s">
        <v>181</v>
      </c>
      <c r="AB1061" s="8"/>
    </row>
    <row r="1062" spans="1:28" s="4" customFormat="1" ht="51.95" customHeight="1">
      <c r="A1062" s="5">
        <v>0</v>
      </c>
      <c r="B1062" s="6" t="s">
        <v>6876</v>
      </c>
      <c r="C1062" s="7">
        <v>1070</v>
      </c>
      <c r="D1062" s="8" t="s">
        <v>6877</v>
      </c>
      <c r="E1062" s="8" t="s">
        <v>6878</v>
      </c>
      <c r="F1062" s="8" t="s">
        <v>4512</v>
      </c>
      <c r="G1062" s="6" t="s">
        <v>38</v>
      </c>
      <c r="H1062" s="6" t="s">
        <v>54</v>
      </c>
      <c r="I1062" s="8" t="s">
        <v>40</v>
      </c>
      <c r="J1062" s="9">
        <v>1</v>
      </c>
      <c r="K1062" s="9">
        <v>213</v>
      </c>
      <c r="L1062" s="9">
        <v>2025</v>
      </c>
      <c r="M1062" s="8" t="s">
        <v>6879</v>
      </c>
      <c r="N1062" s="8" t="s">
        <v>125</v>
      </c>
      <c r="O1062" s="8" t="s">
        <v>126</v>
      </c>
      <c r="P1062" s="6" t="s">
        <v>58</v>
      </c>
      <c r="Q1062" s="8" t="s">
        <v>45</v>
      </c>
      <c r="R1062" s="10" t="s">
        <v>6880</v>
      </c>
      <c r="S1062" s="11"/>
      <c r="T1062" s="6"/>
      <c r="U1062" s="24" t="str">
        <f>HYPERLINK("https://media.infra-m.ru/1876/1876527/cover/1876527.jpg", "Обложка")</f>
        <v>Обложка</v>
      </c>
      <c r="V1062" s="24" t="str">
        <f>HYPERLINK("https://znanium.ru/catalog/product/1876527", "Ознакомиться")</f>
        <v>Ознакомиться</v>
      </c>
      <c r="W1062" s="8" t="s">
        <v>2602</v>
      </c>
      <c r="X1062" s="6"/>
      <c r="Y1062" s="6"/>
      <c r="Z1062" s="6"/>
      <c r="AA1062" s="6" t="s">
        <v>84</v>
      </c>
      <c r="AB1062" s="8"/>
    </row>
    <row r="1063" spans="1:28" s="4" customFormat="1" ht="51.95" customHeight="1">
      <c r="A1063" s="5">
        <v>0</v>
      </c>
      <c r="B1063" s="6" t="s">
        <v>6881</v>
      </c>
      <c r="C1063" s="7">
        <v>1684</v>
      </c>
      <c r="D1063" s="8" t="s">
        <v>6882</v>
      </c>
      <c r="E1063" s="8" t="s">
        <v>6883</v>
      </c>
      <c r="F1063" s="8" t="s">
        <v>6279</v>
      </c>
      <c r="G1063" s="6" t="s">
        <v>90</v>
      </c>
      <c r="H1063" s="6" t="s">
        <v>299</v>
      </c>
      <c r="I1063" s="8" t="s">
        <v>40</v>
      </c>
      <c r="J1063" s="9">
        <v>1</v>
      </c>
      <c r="K1063" s="9">
        <v>317</v>
      </c>
      <c r="L1063" s="9">
        <v>2026</v>
      </c>
      <c r="M1063" s="8" t="s">
        <v>6884</v>
      </c>
      <c r="N1063" s="8" t="s">
        <v>42</v>
      </c>
      <c r="O1063" s="8" t="s">
        <v>169</v>
      </c>
      <c r="P1063" s="6" t="s">
        <v>58</v>
      </c>
      <c r="Q1063" s="8" t="s">
        <v>45</v>
      </c>
      <c r="R1063" s="10" t="s">
        <v>6885</v>
      </c>
      <c r="S1063" s="11" t="s">
        <v>6886</v>
      </c>
      <c r="T1063" s="6"/>
      <c r="U1063" s="24" t="str">
        <f>HYPERLINK("https://media.infra-m.ru/2223/2223156/cover/2223156.jpg", "Обложка")</f>
        <v>Обложка</v>
      </c>
      <c r="V1063" s="24" t="str">
        <f>HYPERLINK("https://znanium.ru/catalog/product/2223155", "Ознакомиться")</f>
        <v>Ознакомиться</v>
      </c>
      <c r="W1063" s="8" t="s">
        <v>1925</v>
      </c>
      <c r="X1063" s="6"/>
      <c r="Y1063" s="6" t="s">
        <v>30</v>
      </c>
      <c r="Z1063" s="6"/>
      <c r="AA1063" s="6" t="s">
        <v>3514</v>
      </c>
      <c r="AB1063" s="8"/>
    </row>
    <row r="1064" spans="1:28" s="4" customFormat="1" ht="51.95" customHeight="1">
      <c r="A1064" s="5">
        <v>0</v>
      </c>
      <c r="B1064" s="6" t="s">
        <v>6887</v>
      </c>
      <c r="C1064" s="7">
        <v>1654</v>
      </c>
      <c r="D1064" s="8" t="s">
        <v>6888</v>
      </c>
      <c r="E1064" s="8" t="s">
        <v>6889</v>
      </c>
      <c r="F1064" s="8" t="s">
        <v>6890</v>
      </c>
      <c r="G1064" s="6" t="s">
        <v>38</v>
      </c>
      <c r="H1064" s="6" t="s">
        <v>299</v>
      </c>
      <c r="I1064" s="8" t="s">
        <v>69</v>
      </c>
      <c r="J1064" s="9">
        <v>1</v>
      </c>
      <c r="K1064" s="9">
        <v>352</v>
      </c>
      <c r="L1064" s="9">
        <v>2024</v>
      </c>
      <c r="M1064" s="8" t="s">
        <v>6891</v>
      </c>
      <c r="N1064" s="8" t="s">
        <v>125</v>
      </c>
      <c r="O1064" s="8" t="s">
        <v>432</v>
      </c>
      <c r="P1064" s="6" t="s">
        <v>44</v>
      </c>
      <c r="Q1064" s="8" t="s">
        <v>45</v>
      </c>
      <c r="R1064" s="10" t="s">
        <v>5555</v>
      </c>
      <c r="S1064" s="11" t="s">
        <v>6892</v>
      </c>
      <c r="T1064" s="6"/>
      <c r="U1064" s="24" t="str">
        <f>HYPERLINK("https://media.infra-m.ru/2145/2145081/cover/2145081.jpg", "Обложка")</f>
        <v>Обложка</v>
      </c>
      <c r="V1064" s="24" t="str">
        <f>HYPERLINK("https://znanium.ru/catalog/product/1815605", "Ознакомиться")</f>
        <v>Ознакомиться</v>
      </c>
      <c r="W1064" s="8" t="s">
        <v>180</v>
      </c>
      <c r="X1064" s="6"/>
      <c r="Y1064" s="6"/>
      <c r="Z1064" s="6"/>
      <c r="AA1064" s="6" t="s">
        <v>237</v>
      </c>
      <c r="AB1064" s="8"/>
    </row>
    <row r="1065" spans="1:28" s="4" customFormat="1" ht="51.95" customHeight="1">
      <c r="A1065" s="5">
        <v>0</v>
      </c>
      <c r="B1065" s="6" t="s">
        <v>6893</v>
      </c>
      <c r="C1065" s="7">
        <v>1764</v>
      </c>
      <c r="D1065" s="8" t="s">
        <v>6894</v>
      </c>
      <c r="E1065" s="8" t="s">
        <v>6895</v>
      </c>
      <c r="F1065" s="8" t="s">
        <v>6896</v>
      </c>
      <c r="G1065" s="6" t="s">
        <v>38</v>
      </c>
      <c r="H1065" s="6" t="s">
        <v>982</v>
      </c>
      <c r="I1065" s="8" t="s">
        <v>40</v>
      </c>
      <c r="J1065" s="9">
        <v>1</v>
      </c>
      <c r="K1065" s="9">
        <v>384</v>
      </c>
      <c r="L1065" s="9">
        <v>2024</v>
      </c>
      <c r="M1065" s="8" t="s">
        <v>6897</v>
      </c>
      <c r="N1065" s="8" t="s">
        <v>125</v>
      </c>
      <c r="O1065" s="8" t="s">
        <v>432</v>
      </c>
      <c r="P1065" s="6" t="s">
        <v>58</v>
      </c>
      <c r="Q1065" s="8" t="s">
        <v>45</v>
      </c>
      <c r="R1065" s="10" t="s">
        <v>1207</v>
      </c>
      <c r="S1065" s="11" t="s">
        <v>6898</v>
      </c>
      <c r="T1065" s="6"/>
      <c r="U1065" s="24" t="str">
        <f>HYPERLINK("https://media.infra-m.ru/2053/2053200/cover/2053200.jpg", "Обложка")</f>
        <v>Обложка</v>
      </c>
      <c r="V1065" s="24" t="str">
        <f>HYPERLINK("https://znanium.ru/catalog/product/1052227", "Ознакомиться")</f>
        <v>Ознакомиться</v>
      </c>
      <c r="W1065" s="8" t="s">
        <v>3858</v>
      </c>
      <c r="X1065" s="6"/>
      <c r="Y1065" s="6"/>
      <c r="Z1065" s="6"/>
      <c r="AA1065" s="6" t="s">
        <v>313</v>
      </c>
      <c r="AB1065" s="8"/>
    </row>
    <row r="1066" spans="1:28" s="4" customFormat="1" ht="51.95" customHeight="1">
      <c r="A1066" s="5">
        <v>0</v>
      </c>
      <c r="B1066" s="6" t="s">
        <v>6899</v>
      </c>
      <c r="C1066" s="7">
        <v>1160</v>
      </c>
      <c r="D1066" s="8" t="s">
        <v>6900</v>
      </c>
      <c r="E1066" s="8" t="s">
        <v>6901</v>
      </c>
      <c r="F1066" s="8" t="s">
        <v>6902</v>
      </c>
      <c r="G1066" s="6" t="s">
        <v>90</v>
      </c>
      <c r="H1066" s="6" t="s">
        <v>54</v>
      </c>
      <c r="I1066" s="8" t="s">
        <v>40</v>
      </c>
      <c r="J1066" s="9">
        <v>1</v>
      </c>
      <c r="K1066" s="9">
        <v>250</v>
      </c>
      <c r="L1066" s="9">
        <v>2024</v>
      </c>
      <c r="M1066" s="8" t="s">
        <v>6903</v>
      </c>
      <c r="N1066" s="8" t="s">
        <v>535</v>
      </c>
      <c r="O1066" s="8" t="s">
        <v>856</v>
      </c>
      <c r="P1066" s="6" t="s">
        <v>58</v>
      </c>
      <c r="Q1066" s="8" t="s">
        <v>45</v>
      </c>
      <c r="R1066" s="10" t="s">
        <v>6904</v>
      </c>
      <c r="S1066" s="11" t="s">
        <v>6905</v>
      </c>
      <c r="T1066" s="6"/>
      <c r="U1066" s="24" t="str">
        <f>HYPERLINK("https://media.infra-m.ru/2078/2078388/cover/2078388.jpg", "Обложка")</f>
        <v>Обложка</v>
      </c>
      <c r="V1066" s="24" t="str">
        <f>HYPERLINK("https://znanium.ru/catalog/product/2078388", "Ознакомиться")</f>
        <v>Ознакомиться</v>
      </c>
      <c r="W1066" s="8" t="s">
        <v>172</v>
      </c>
      <c r="X1066" s="6"/>
      <c r="Y1066" s="6"/>
      <c r="Z1066" s="6" t="s">
        <v>48</v>
      </c>
      <c r="AA1066" s="6" t="s">
        <v>740</v>
      </c>
      <c r="AB1066" s="8"/>
    </row>
    <row r="1067" spans="1:28" s="4" customFormat="1" ht="51.95" customHeight="1">
      <c r="A1067" s="5">
        <v>0</v>
      </c>
      <c r="B1067" s="6" t="s">
        <v>6906</v>
      </c>
      <c r="C1067" s="13">
        <v>990</v>
      </c>
      <c r="D1067" s="8" t="s">
        <v>6907</v>
      </c>
      <c r="E1067" s="8" t="s">
        <v>6908</v>
      </c>
      <c r="F1067" s="8" t="s">
        <v>6909</v>
      </c>
      <c r="G1067" s="6" t="s">
        <v>38</v>
      </c>
      <c r="H1067" s="6" t="s">
        <v>54</v>
      </c>
      <c r="I1067" s="8" t="s">
        <v>40</v>
      </c>
      <c r="J1067" s="9">
        <v>1</v>
      </c>
      <c r="K1067" s="9">
        <v>289</v>
      </c>
      <c r="L1067" s="9">
        <v>2020</v>
      </c>
      <c r="M1067" s="8" t="s">
        <v>6910</v>
      </c>
      <c r="N1067" s="8" t="s">
        <v>535</v>
      </c>
      <c r="O1067" s="8" t="s">
        <v>856</v>
      </c>
      <c r="P1067" s="6" t="s">
        <v>44</v>
      </c>
      <c r="Q1067" s="8" t="s">
        <v>45</v>
      </c>
      <c r="R1067" s="10" t="s">
        <v>6911</v>
      </c>
      <c r="S1067" s="11" t="s">
        <v>3903</v>
      </c>
      <c r="T1067" s="6"/>
      <c r="U1067" s="24" t="str">
        <f>HYPERLINK("https://media.infra-m.ru/1047/1047921/cover/1047921.jpg", "Обложка")</f>
        <v>Обложка</v>
      </c>
      <c r="V1067" s="24" t="str">
        <f>HYPERLINK("https://znanium.ru/catalog/product/1047921", "Ознакомиться")</f>
        <v>Ознакомиться</v>
      </c>
      <c r="W1067" s="8" t="s">
        <v>73</v>
      </c>
      <c r="X1067" s="6"/>
      <c r="Y1067" s="6"/>
      <c r="Z1067" s="6" t="s">
        <v>48</v>
      </c>
      <c r="AA1067" s="6" t="s">
        <v>443</v>
      </c>
      <c r="AB1067" s="8"/>
    </row>
    <row r="1068" spans="1:28" s="4" customFormat="1" ht="42" customHeight="1">
      <c r="A1068" s="5">
        <v>0</v>
      </c>
      <c r="B1068" s="6" t="s">
        <v>6912</v>
      </c>
      <c r="C1068" s="7">
        <v>2380</v>
      </c>
      <c r="D1068" s="8" t="s">
        <v>6913</v>
      </c>
      <c r="E1068" s="8" t="s">
        <v>6914</v>
      </c>
      <c r="F1068" s="8" t="s">
        <v>6915</v>
      </c>
      <c r="G1068" s="6" t="s">
        <v>38</v>
      </c>
      <c r="H1068" s="6" t="s">
        <v>359</v>
      </c>
      <c r="I1068" s="8" t="s">
        <v>1686</v>
      </c>
      <c r="J1068" s="9">
        <v>1</v>
      </c>
      <c r="K1068" s="9">
        <v>432</v>
      </c>
      <c r="L1068" s="9">
        <v>2026</v>
      </c>
      <c r="M1068" s="8" t="s">
        <v>6916</v>
      </c>
      <c r="N1068" s="8" t="s">
        <v>125</v>
      </c>
      <c r="O1068" s="8" t="s">
        <v>352</v>
      </c>
      <c r="P1068" s="6" t="s">
        <v>58</v>
      </c>
      <c r="Q1068" s="8" t="s">
        <v>45</v>
      </c>
      <c r="R1068" s="10" t="s">
        <v>108</v>
      </c>
      <c r="S1068" s="11"/>
      <c r="T1068" s="6"/>
      <c r="U1068" s="24" t="str">
        <f>HYPERLINK("https://media.infra-m.ru/2225/2225235/cover/2225235.jpg", "Обложка")</f>
        <v>Обложка</v>
      </c>
      <c r="V1068" s="24" t="str">
        <f>HYPERLINK("https://znanium.ru/catalog/product/2225235", "Ознакомиться")</f>
        <v>Ознакомиться</v>
      </c>
      <c r="W1068" s="8" t="s">
        <v>6917</v>
      </c>
      <c r="X1068" s="6"/>
      <c r="Y1068" s="6" t="s">
        <v>30</v>
      </c>
      <c r="Z1068" s="6"/>
      <c r="AA1068" s="6" t="s">
        <v>835</v>
      </c>
      <c r="AB1068" s="8"/>
    </row>
    <row r="1069" spans="1:28" s="4" customFormat="1" ht="51.95" customHeight="1">
      <c r="A1069" s="5">
        <v>0</v>
      </c>
      <c r="B1069" s="6" t="s">
        <v>6918</v>
      </c>
      <c r="C1069" s="13">
        <v>950</v>
      </c>
      <c r="D1069" s="8" t="s">
        <v>6919</v>
      </c>
      <c r="E1069" s="8" t="s">
        <v>6914</v>
      </c>
      <c r="F1069" s="8" t="s">
        <v>6920</v>
      </c>
      <c r="G1069" s="6" t="s">
        <v>38</v>
      </c>
      <c r="H1069" s="6" t="s">
        <v>54</v>
      </c>
      <c r="I1069" s="8" t="s">
        <v>40</v>
      </c>
      <c r="J1069" s="9">
        <v>1</v>
      </c>
      <c r="K1069" s="9">
        <v>165</v>
      </c>
      <c r="L1069" s="9">
        <v>2025</v>
      </c>
      <c r="M1069" s="8" t="s">
        <v>6921</v>
      </c>
      <c r="N1069" s="8" t="s">
        <v>125</v>
      </c>
      <c r="O1069" s="8" t="s">
        <v>352</v>
      </c>
      <c r="P1069" s="6" t="s">
        <v>58</v>
      </c>
      <c r="Q1069" s="8" t="s">
        <v>45</v>
      </c>
      <c r="R1069" s="10" t="s">
        <v>108</v>
      </c>
      <c r="S1069" s="11" t="s">
        <v>6922</v>
      </c>
      <c r="T1069" s="6"/>
      <c r="U1069" s="24" t="str">
        <f>HYPERLINK("https://media.infra-m.ru/2174/2174904/cover/2174904.jpg", "Обложка")</f>
        <v>Обложка</v>
      </c>
      <c r="V1069" s="24" t="str">
        <f>HYPERLINK("https://znanium.ru/catalog/product/2174904", "Ознакомиться")</f>
        <v>Ознакомиться</v>
      </c>
      <c r="W1069" s="8" t="s">
        <v>6923</v>
      </c>
      <c r="X1069" s="6" t="s">
        <v>1400</v>
      </c>
      <c r="Y1069" s="6"/>
      <c r="Z1069" s="6"/>
      <c r="AA1069" s="6" t="s">
        <v>84</v>
      </c>
      <c r="AB1069" s="8" t="s">
        <v>85</v>
      </c>
    </row>
    <row r="1070" spans="1:28" s="4" customFormat="1" ht="42" customHeight="1">
      <c r="A1070" s="5">
        <v>0</v>
      </c>
      <c r="B1070" s="6" t="s">
        <v>6924</v>
      </c>
      <c r="C1070" s="7">
        <v>3120</v>
      </c>
      <c r="D1070" s="8" t="s">
        <v>6925</v>
      </c>
      <c r="E1070" s="8" t="s">
        <v>6926</v>
      </c>
      <c r="F1070" s="8" t="s">
        <v>6927</v>
      </c>
      <c r="G1070" s="6" t="s">
        <v>38</v>
      </c>
      <c r="H1070" s="6" t="s">
        <v>54</v>
      </c>
      <c r="I1070" s="8" t="s">
        <v>40</v>
      </c>
      <c r="J1070" s="9">
        <v>1</v>
      </c>
      <c r="K1070" s="9">
        <v>623</v>
      </c>
      <c r="L1070" s="9">
        <v>2025</v>
      </c>
      <c r="M1070" s="8" t="s">
        <v>6928</v>
      </c>
      <c r="N1070" s="8" t="s">
        <v>125</v>
      </c>
      <c r="O1070" s="8" t="s">
        <v>352</v>
      </c>
      <c r="P1070" s="6" t="s">
        <v>58</v>
      </c>
      <c r="Q1070" s="8" t="s">
        <v>45</v>
      </c>
      <c r="R1070" s="10" t="s">
        <v>108</v>
      </c>
      <c r="S1070" s="11"/>
      <c r="T1070" s="6"/>
      <c r="U1070" s="24" t="str">
        <f>HYPERLINK("https://media.infra-m.ru/2165/2165083/cover/2165083.jpg", "Обложка")</f>
        <v>Обложка</v>
      </c>
      <c r="V1070" s="24" t="str">
        <f>HYPERLINK("https://znanium.ru/catalog/product/2165083", "Ознакомиться")</f>
        <v>Ознакомиться</v>
      </c>
      <c r="W1070" s="8" t="s">
        <v>6929</v>
      </c>
      <c r="X1070" s="6"/>
      <c r="Y1070" s="6"/>
      <c r="Z1070" s="6" t="s">
        <v>207</v>
      </c>
      <c r="AA1070" s="6" t="s">
        <v>1253</v>
      </c>
      <c r="AB1070" s="8"/>
    </row>
    <row r="1071" spans="1:28" s="4" customFormat="1" ht="51.95" customHeight="1">
      <c r="A1071" s="5">
        <v>0</v>
      </c>
      <c r="B1071" s="6" t="s">
        <v>6930</v>
      </c>
      <c r="C1071" s="7">
        <v>1230</v>
      </c>
      <c r="D1071" s="8" t="s">
        <v>6931</v>
      </c>
      <c r="E1071" s="8" t="s">
        <v>6914</v>
      </c>
      <c r="F1071" s="8" t="s">
        <v>2588</v>
      </c>
      <c r="G1071" s="6" t="s">
        <v>90</v>
      </c>
      <c r="H1071" s="6" t="s">
        <v>54</v>
      </c>
      <c r="I1071" s="8" t="s">
        <v>40</v>
      </c>
      <c r="J1071" s="9">
        <v>1</v>
      </c>
      <c r="K1071" s="9">
        <v>272</v>
      </c>
      <c r="L1071" s="9">
        <v>2023</v>
      </c>
      <c r="M1071" s="8" t="s">
        <v>6932</v>
      </c>
      <c r="N1071" s="8" t="s">
        <v>125</v>
      </c>
      <c r="O1071" s="8" t="s">
        <v>352</v>
      </c>
      <c r="P1071" s="6" t="s">
        <v>58</v>
      </c>
      <c r="Q1071" s="8" t="s">
        <v>45</v>
      </c>
      <c r="R1071" s="10" t="s">
        <v>108</v>
      </c>
      <c r="S1071" s="11" t="s">
        <v>6381</v>
      </c>
      <c r="T1071" s="6"/>
      <c r="U1071" s="24" t="str">
        <f>HYPERLINK("https://media.infra-m.ru/1932/1932342/cover/1932342.jpg", "Обложка")</f>
        <v>Обложка</v>
      </c>
      <c r="V1071" s="24" t="str">
        <f>HYPERLINK("https://znanium.ru/catalog/product/1932342", "Ознакомиться")</f>
        <v>Ознакомиться</v>
      </c>
      <c r="W1071" s="8" t="s">
        <v>1552</v>
      </c>
      <c r="X1071" s="6"/>
      <c r="Y1071" s="6" t="s">
        <v>30</v>
      </c>
      <c r="Z1071" s="6" t="s">
        <v>48</v>
      </c>
      <c r="AA1071" s="6" t="s">
        <v>129</v>
      </c>
      <c r="AB1071" s="8"/>
    </row>
    <row r="1072" spans="1:28" s="4" customFormat="1" ht="42" customHeight="1">
      <c r="A1072" s="5">
        <v>0</v>
      </c>
      <c r="B1072" s="6" t="s">
        <v>6933</v>
      </c>
      <c r="C1072" s="7">
        <v>1610</v>
      </c>
      <c r="D1072" s="8" t="s">
        <v>6934</v>
      </c>
      <c r="E1072" s="8" t="s">
        <v>6914</v>
      </c>
      <c r="F1072" s="8" t="s">
        <v>6935</v>
      </c>
      <c r="G1072" s="6" t="s">
        <v>38</v>
      </c>
      <c r="H1072" s="6" t="s">
        <v>68</v>
      </c>
      <c r="I1072" s="8"/>
      <c r="J1072" s="9">
        <v>1</v>
      </c>
      <c r="K1072" s="9">
        <v>303</v>
      </c>
      <c r="L1072" s="9">
        <v>2025</v>
      </c>
      <c r="M1072" s="8" t="s">
        <v>6936</v>
      </c>
      <c r="N1072" s="8" t="s">
        <v>125</v>
      </c>
      <c r="O1072" s="8" t="s">
        <v>352</v>
      </c>
      <c r="P1072" s="6" t="s">
        <v>58</v>
      </c>
      <c r="Q1072" s="8" t="s">
        <v>45</v>
      </c>
      <c r="R1072" s="10" t="s">
        <v>108</v>
      </c>
      <c r="S1072" s="11"/>
      <c r="T1072" s="6"/>
      <c r="U1072" s="24" t="str">
        <f>HYPERLINK("https://media.infra-m.ru/2208/2208882/cover/2208882.jpg", "Обложка")</f>
        <v>Обложка</v>
      </c>
      <c r="V1072" s="24" t="str">
        <f>HYPERLINK("https://znanium.ru/catalog/product/2208882", "Ознакомиться")</f>
        <v>Ознакомиться</v>
      </c>
      <c r="W1072" s="8" t="s">
        <v>2180</v>
      </c>
      <c r="X1072" s="6" t="s">
        <v>1400</v>
      </c>
      <c r="Y1072" s="6"/>
      <c r="Z1072" s="6"/>
      <c r="AA1072" s="6" t="s">
        <v>84</v>
      </c>
      <c r="AB1072" s="8"/>
    </row>
    <row r="1073" spans="1:28" s="4" customFormat="1" ht="42" customHeight="1">
      <c r="A1073" s="5">
        <v>0</v>
      </c>
      <c r="B1073" s="6" t="s">
        <v>6937</v>
      </c>
      <c r="C1073" s="7">
        <v>1840</v>
      </c>
      <c r="D1073" s="8" t="s">
        <v>6938</v>
      </c>
      <c r="E1073" s="8" t="s">
        <v>6914</v>
      </c>
      <c r="F1073" s="8" t="s">
        <v>6939</v>
      </c>
      <c r="G1073" s="6" t="s">
        <v>38</v>
      </c>
      <c r="H1073" s="6" t="s">
        <v>54</v>
      </c>
      <c r="I1073" s="8" t="s">
        <v>40</v>
      </c>
      <c r="J1073" s="9">
        <v>1</v>
      </c>
      <c r="K1073" s="9">
        <v>365</v>
      </c>
      <c r="L1073" s="9">
        <v>2025</v>
      </c>
      <c r="M1073" s="8" t="s">
        <v>6940</v>
      </c>
      <c r="N1073" s="8" t="s">
        <v>125</v>
      </c>
      <c r="O1073" s="8" t="s">
        <v>352</v>
      </c>
      <c r="P1073" s="6" t="s">
        <v>44</v>
      </c>
      <c r="Q1073" s="8" t="s">
        <v>45</v>
      </c>
      <c r="R1073" s="10" t="s">
        <v>108</v>
      </c>
      <c r="S1073" s="11"/>
      <c r="T1073" s="6"/>
      <c r="U1073" s="24" t="str">
        <f>HYPERLINK("https://media.infra-m.ru/2175/2175116/cover/2175116.jpg", "Обложка")</f>
        <v>Обложка</v>
      </c>
      <c r="V1073" s="24" t="str">
        <f>HYPERLINK("https://znanium.ru/catalog/product/2175116", "Ознакомиться")</f>
        <v>Ознакомиться</v>
      </c>
      <c r="W1073" s="8" t="s">
        <v>82</v>
      </c>
      <c r="X1073" s="6" t="s">
        <v>367</v>
      </c>
      <c r="Y1073" s="6"/>
      <c r="Z1073" s="6" t="s">
        <v>48</v>
      </c>
      <c r="AA1073" s="6" t="s">
        <v>84</v>
      </c>
      <c r="AB1073" s="8"/>
    </row>
    <row r="1074" spans="1:28" s="4" customFormat="1" ht="42" customHeight="1">
      <c r="A1074" s="5">
        <v>0</v>
      </c>
      <c r="B1074" s="6" t="s">
        <v>6941</v>
      </c>
      <c r="C1074" s="7">
        <v>1690</v>
      </c>
      <c r="D1074" s="8" t="s">
        <v>6942</v>
      </c>
      <c r="E1074" s="8" t="s">
        <v>6914</v>
      </c>
      <c r="F1074" s="8" t="s">
        <v>6943</v>
      </c>
      <c r="G1074" s="6" t="s">
        <v>38</v>
      </c>
      <c r="H1074" s="6" t="s">
        <v>54</v>
      </c>
      <c r="I1074" s="8" t="s">
        <v>40</v>
      </c>
      <c r="J1074" s="9">
        <v>1</v>
      </c>
      <c r="K1074" s="9">
        <v>343</v>
      </c>
      <c r="L1074" s="9">
        <v>2024</v>
      </c>
      <c r="M1074" s="8" t="s">
        <v>6944</v>
      </c>
      <c r="N1074" s="8" t="s">
        <v>125</v>
      </c>
      <c r="O1074" s="8" t="s">
        <v>352</v>
      </c>
      <c r="P1074" s="6" t="s">
        <v>44</v>
      </c>
      <c r="Q1074" s="8" t="s">
        <v>45</v>
      </c>
      <c r="R1074" s="10" t="s">
        <v>108</v>
      </c>
      <c r="S1074" s="11"/>
      <c r="T1074" s="6"/>
      <c r="U1074" s="24" t="str">
        <f>HYPERLINK("https://media.infra-m.ru/1865/1865712/cover/1865712.jpg", "Обложка")</f>
        <v>Обложка</v>
      </c>
      <c r="V1074" s="24" t="str">
        <f>HYPERLINK("https://znanium.ru/catalog/product/1865712", "Ознакомиться")</f>
        <v>Ознакомиться</v>
      </c>
      <c r="W1074" s="8" t="s">
        <v>346</v>
      </c>
      <c r="X1074" s="6"/>
      <c r="Y1074" s="6"/>
      <c r="Z1074" s="6"/>
      <c r="AA1074" s="6" t="s">
        <v>354</v>
      </c>
      <c r="AB1074" s="8"/>
    </row>
    <row r="1075" spans="1:28" s="4" customFormat="1" ht="42" customHeight="1">
      <c r="A1075" s="5">
        <v>0</v>
      </c>
      <c r="B1075" s="6" t="s">
        <v>6945</v>
      </c>
      <c r="C1075" s="13">
        <v>790</v>
      </c>
      <c r="D1075" s="8" t="s">
        <v>6946</v>
      </c>
      <c r="E1075" s="8" t="s">
        <v>6947</v>
      </c>
      <c r="F1075" s="8" t="s">
        <v>6948</v>
      </c>
      <c r="G1075" s="6" t="s">
        <v>67</v>
      </c>
      <c r="H1075" s="6" t="s">
        <v>54</v>
      </c>
      <c r="I1075" s="8" t="s">
        <v>40</v>
      </c>
      <c r="J1075" s="9">
        <v>1</v>
      </c>
      <c r="K1075" s="9">
        <v>146</v>
      </c>
      <c r="L1075" s="9">
        <v>2026</v>
      </c>
      <c r="M1075" s="8" t="s">
        <v>6949</v>
      </c>
      <c r="N1075" s="8" t="s">
        <v>1306</v>
      </c>
      <c r="O1075" s="8" t="s">
        <v>1307</v>
      </c>
      <c r="P1075" s="6" t="s">
        <v>58</v>
      </c>
      <c r="Q1075" s="8" t="s">
        <v>45</v>
      </c>
      <c r="R1075" s="10" t="s">
        <v>4108</v>
      </c>
      <c r="S1075" s="11"/>
      <c r="T1075" s="6"/>
      <c r="U1075" s="24" t="str">
        <f>HYPERLINK("https://media.infra-m.ru/2214/2214763/cover/2214763.jpg", "Обложка")</f>
        <v>Обложка</v>
      </c>
      <c r="V1075" s="24" t="str">
        <f>HYPERLINK("https://znanium.ru/catalog/product/2214763", "Ознакомиться")</f>
        <v>Ознакомиться</v>
      </c>
      <c r="W1075" s="8" t="s">
        <v>1560</v>
      </c>
      <c r="X1075" s="6"/>
      <c r="Y1075" s="6"/>
      <c r="Z1075" s="6" t="s">
        <v>48</v>
      </c>
      <c r="AA1075" s="6" t="s">
        <v>84</v>
      </c>
      <c r="AB1075" s="8"/>
    </row>
    <row r="1076" spans="1:28" s="4" customFormat="1" ht="51.95" customHeight="1">
      <c r="A1076" s="5">
        <v>0</v>
      </c>
      <c r="B1076" s="6" t="s">
        <v>6950</v>
      </c>
      <c r="C1076" s="7">
        <v>1250</v>
      </c>
      <c r="D1076" s="8" t="s">
        <v>6951</v>
      </c>
      <c r="E1076" s="8" t="s">
        <v>6952</v>
      </c>
      <c r="F1076" s="8" t="s">
        <v>6953</v>
      </c>
      <c r="G1076" s="6" t="s">
        <v>90</v>
      </c>
      <c r="H1076" s="6" t="s">
        <v>54</v>
      </c>
      <c r="I1076" s="8" t="s">
        <v>40</v>
      </c>
      <c r="J1076" s="9">
        <v>1</v>
      </c>
      <c r="K1076" s="9">
        <v>236</v>
      </c>
      <c r="L1076" s="9">
        <v>2026</v>
      </c>
      <c r="M1076" s="8" t="s">
        <v>6954</v>
      </c>
      <c r="N1076" s="8" t="s">
        <v>1306</v>
      </c>
      <c r="O1076" s="8" t="s">
        <v>1307</v>
      </c>
      <c r="P1076" s="6" t="s">
        <v>58</v>
      </c>
      <c r="Q1076" s="8" t="s">
        <v>45</v>
      </c>
      <c r="R1076" s="10" t="s">
        <v>3624</v>
      </c>
      <c r="S1076" s="11" t="s">
        <v>6955</v>
      </c>
      <c r="T1076" s="6"/>
      <c r="U1076" s="24" t="str">
        <f>HYPERLINK("https://media.infra-m.ru/2219/2219446/cover/2219446.jpg", "Обложка")</f>
        <v>Обложка</v>
      </c>
      <c r="V1076" s="24" t="str">
        <f>HYPERLINK("https://znanium.ru/catalog/product/2219446", "Ознакомиться")</f>
        <v>Ознакомиться</v>
      </c>
      <c r="W1076" s="8" t="s">
        <v>1560</v>
      </c>
      <c r="X1076" s="6"/>
      <c r="Y1076" s="6"/>
      <c r="Z1076" s="6" t="s">
        <v>48</v>
      </c>
      <c r="AA1076" s="6" t="s">
        <v>740</v>
      </c>
      <c r="AB1076" s="8"/>
    </row>
    <row r="1077" spans="1:28" s="4" customFormat="1" ht="42" customHeight="1">
      <c r="A1077" s="5">
        <v>0</v>
      </c>
      <c r="B1077" s="6" t="s">
        <v>6956</v>
      </c>
      <c r="C1077" s="7">
        <v>1270</v>
      </c>
      <c r="D1077" s="8" t="s">
        <v>6957</v>
      </c>
      <c r="E1077" s="8" t="s">
        <v>6958</v>
      </c>
      <c r="F1077" s="8" t="s">
        <v>6959</v>
      </c>
      <c r="G1077" s="6" t="s">
        <v>90</v>
      </c>
      <c r="H1077" s="6" t="s">
        <v>54</v>
      </c>
      <c r="I1077" s="8" t="s">
        <v>40</v>
      </c>
      <c r="J1077" s="9">
        <v>1</v>
      </c>
      <c r="K1077" s="9">
        <v>242</v>
      </c>
      <c r="L1077" s="9">
        <v>2025</v>
      </c>
      <c r="M1077" s="8" t="s">
        <v>6960</v>
      </c>
      <c r="N1077" s="8" t="s">
        <v>1306</v>
      </c>
      <c r="O1077" s="8" t="s">
        <v>1307</v>
      </c>
      <c r="P1077" s="6" t="s">
        <v>44</v>
      </c>
      <c r="Q1077" s="8" t="s">
        <v>45</v>
      </c>
      <c r="R1077" s="10" t="s">
        <v>4108</v>
      </c>
      <c r="S1077" s="11"/>
      <c r="T1077" s="6"/>
      <c r="U1077" s="24" t="str">
        <f>HYPERLINK("https://media.infra-m.ru/2187/2187762/cover/2187762.jpg", "Обложка")</f>
        <v>Обложка</v>
      </c>
      <c r="V1077" s="24" t="str">
        <f>HYPERLINK("https://znanium.ru/catalog/product/2187762", "Ознакомиться")</f>
        <v>Ознакомиться</v>
      </c>
      <c r="W1077" s="8" t="s">
        <v>6628</v>
      </c>
      <c r="X1077" s="6"/>
      <c r="Y1077" s="6"/>
      <c r="Z1077" s="6"/>
      <c r="AA1077" s="6" t="s">
        <v>354</v>
      </c>
      <c r="AB1077" s="8"/>
    </row>
    <row r="1078" spans="1:28" s="4" customFormat="1" ht="51.95" customHeight="1">
      <c r="A1078" s="5">
        <v>0</v>
      </c>
      <c r="B1078" s="6" t="s">
        <v>6961</v>
      </c>
      <c r="C1078" s="7">
        <v>1130</v>
      </c>
      <c r="D1078" s="8" t="s">
        <v>6962</v>
      </c>
      <c r="E1078" s="8" t="s">
        <v>6963</v>
      </c>
      <c r="F1078" s="8" t="s">
        <v>6964</v>
      </c>
      <c r="G1078" s="6" t="s">
        <v>90</v>
      </c>
      <c r="H1078" s="6" t="s">
        <v>54</v>
      </c>
      <c r="I1078" s="8" t="s">
        <v>40</v>
      </c>
      <c r="J1078" s="9">
        <v>1</v>
      </c>
      <c r="K1078" s="9">
        <v>214</v>
      </c>
      <c r="L1078" s="9">
        <v>2025</v>
      </c>
      <c r="M1078" s="8" t="s">
        <v>6965</v>
      </c>
      <c r="N1078" s="8" t="s">
        <v>42</v>
      </c>
      <c r="O1078" s="8" t="s">
        <v>553</v>
      </c>
      <c r="P1078" s="6" t="s">
        <v>58</v>
      </c>
      <c r="Q1078" s="8" t="s">
        <v>45</v>
      </c>
      <c r="R1078" s="10" t="s">
        <v>6966</v>
      </c>
      <c r="S1078" s="11" t="s">
        <v>6967</v>
      </c>
      <c r="T1078" s="6" t="s">
        <v>118</v>
      </c>
      <c r="U1078" s="24" t="str">
        <f>HYPERLINK("https://media.infra-m.ru/2208/2208031/cover/2208031.jpg", "Обложка")</f>
        <v>Обложка</v>
      </c>
      <c r="V1078" s="24" t="str">
        <f>HYPERLINK("https://znanium.ru/catalog/product/2208031", "Ознакомиться")</f>
        <v>Ознакомиться</v>
      </c>
      <c r="W1078" s="8" t="s">
        <v>6968</v>
      </c>
      <c r="X1078" s="6"/>
      <c r="Y1078" s="6"/>
      <c r="Z1078" s="6" t="s">
        <v>48</v>
      </c>
      <c r="AA1078" s="6" t="s">
        <v>563</v>
      </c>
      <c r="AB1078" s="8" t="s">
        <v>860</v>
      </c>
    </row>
    <row r="1079" spans="1:28" s="4" customFormat="1" ht="51.95" customHeight="1">
      <c r="A1079" s="5">
        <v>0</v>
      </c>
      <c r="B1079" s="6" t="s">
        <v>6969</v>
      </c>
      <c r="C1079" s="13">
        <v>860</v>
      </c>
      <c r="D1079" s="8" t="s">
        <v>6970</v>
      </c>
      <c r="E1079" s="8" t="s">
        <v>6971</v>
      </c>
      <c r="F1079" s="8" t="s">
        <v>6972</v>
      </c>
      <c r="G1079" s="6" t="s">
        <v>38</v>
      </c>
      <c r="H1079" s="6" t="s">
        <v>54</v>
      </c>
      <c r="I1079" s="8" t="s">
        <v>40</v>
      </c>
      <c r="J1079" s="9">
        <v>1</v>
      </c>
      <c r="K1079" s="9">
        <v>181</v>
      </c>
      <c r="L1079" s="9">
        <v>2024</v>
      </c>
      <c r="M1079" s="8" t="s">
        <v>6973</v>
      </c>
      <c r="N1079" s="8" t="s">
        <v>535</v>
      </c>
      <c r="O1079" s="8" t="s">
        <v>856</v>
      </c>
      <c r="P1079" s="6" t="s">
        <v>44</v>
      </c>
      <c r="Q1079" s="8" t="s">
        <v>45</v>
      </c>
      <c r="R1079" s="10" t="s">
        <v>6974</v>
      </c>
      <c r="S1079" s="11"/>
      <c r="T1079" s="6"/>
      <c r="U1079" s="24" t="str">
        <f>HYPERLINK("https://media.infra-m.ru/2081/2081023/cover/2081023.jpg", "Обложка")</f>
        <v>Обложка</v>
      </c>
      <c r="V1079" s="24" t="str">
        <f>HYPERLINK("https://znanium.ru/catalog/product/2081023", "Ознакомиться")</f>
        <v>Ознакомиться</v>
      </c>
      <c r="W1079" s="8" t="s">
        <v>6975</v>
      </c>
      <c r="X1079" s="6"/>
      <c r="Y1079" s="6"/>
      <c r="Z1079" s="6" t="s">
        <v>48</v>
      </c>
      <c r="AA1079" s="6" t="s">
        <v>354</v>
      </c>
      <c r="AB1079" s="8"/>
    </row>
    <row r="1080" spans="1:28" s="4" customFormat="1" ht="51.95" customHeight="1">
      <c r="A1080" s="5">
        <v>0</v>
      </c>
      <c r="B1080" s="6" t="s">
        <v>6976</v>
      </c>
      <c r="C1080" s="7">
        <v>1334</v>
      </c>
      <c r="D1080" s="8" t="s">
        <v>6977</v>
      </c>
      <c r="E1080" s="8" t="s">
        <v>6978</v>
      </c>
      <c r="F1080" s="8" t="s">
        <v>6979</v>
      </c>
      <c r="G1080" s="6" t="s">
        <v>90</v>
      </c>
      <c r="H1080" s="6" t="s">
        <v>2781</v>
      </c>
      <c r="I1080" s="8" t="s">
        <v>40</v>
      </c>
      <c r="J1080" s="9">
        <v>1</v>
      </c>
      <c r="K1080" s="9">
        <v>266</v>
      </c>
      <c r="L1080" s="9">
        <v>2025</v>
      </c>
      <c r="M1080" s="8" t="s">
        <v>6980</v>
      </c>
      <c r="N1080" s="8" t="s">
        <v>42</v>
      </c>
      <c r="O1080" s="8" t="s">
        <v>187</v>
      </c>
      <c r="P1080" s="6" t="s">
        <v>58</v>
      </c>
      <c r="Q1080" s="8" t="s">
        <v>45</v>
      </c>
      <c r="R1080" s="10" t="s">
        <v>6981</v>
      </c>
      <c r="S1080" s="11" t="s">
        <v>6982</v>
      </c>
      <c r="T1080" s="6"/>
      <c r="U1080" s="24" t="str">
        <f>HYPERLINK("https://media.infra-m.ru/2172/2172689/cover/2172689.jpg", "Обложка")</f>
        <v>Обложка</v>
      </c>
      <c r="V1080" s="24" t="str">
        <f>HYPERLINK("https://znanium.ru/catalog/product/2099967", "Ознакомиться")</f>
        <v>Ознакомиться</v>
      </c>
      <c r="W1080" s="8" t="s">
        <v>190</v>
      </c>
      <c r="X1080" s="6"/>
      <c r="Y1080" s="6"/>
      <c r="Z1080" s="6"/>
      <c r="AA1080" s="6" t="s">
        <v>810</v>
      </c>
      <c r="AB1080" s="8"/>
    </row>
    <row r="1081" spans="1:28" s="4" customFormat="1" ht="51.95" customHeight="1">
      <c r="A1081" s="5">
        <v>0</v>
      </c>
      <c r="B1081" s="6" t="s">
        <v>6983</v>
      </c>
      <c r="C1081" s="7">
        <v>1620</v>
      </c>
      <c r="D1081" s="8" t="s">
        <v>6984</v>
      </c>
      <c r="E1081" s="8" t="s">
        <v>6985</v>
      </c>
      <c r="F1081" s="8" t="s">
        <v>6986</v>
      </c>
      <c r="G1081" s="6" t="s">
        <v>90</v>
      </c>
      <c r="H1081" s="6" t="s">
        <v>54</v>
      </c>
      <c r="I1081" s="8" t="s">
        <v>40</v>
      </c>
      <c r="J1081" s="9">
        <v>1</v>
      </c>
      <c r="K1081" s="9">
        <v>295</v>
      </c>
      <c r="L1081" s="9">
        <v>2026</v>
      </c>
      <c r="M1081" s="8" t="s">
        <v>6987</v>
      </c>
      <c r="N1081" s="8" t="s">
        <v>56</v>
      </c>
      <c r="O1081" s="8" t="s">
        <v>807</v>
      </c>
      <c r="P1081" s="6" t="s">
        <v>44</v>
      </c>
      <c r="Q1081" s="8" t="s">
        <v>45</v>
      </c>
      <c r="R1081" s="10" t="s">
        <v>6988</v>
      </c>
      <c r="S1081" s="11" t="s">
        <v>6989</v>
      </c>
      <c r="T1081" s="6" t="s">
        <v>118</v>
      </c>
      <c r="U1081" s="24" t="str">
        <f>HYPERLINK("https://media.infra-m.ru/2226/2226764/cover/2226764.jpg", "Обложка")</f>
        <v>Обложка</v>
      </c>
      <c r="V1081" s="24" t="str">
        <f>HYPERLINK("https://znanium.ru/catalog/product/2226764", "Ознакомиться")</f>
        <v>Ознакомиться</v>
      </c>
      <c r="W1081" s="8" t="s">
        <v>180</v>
      </c>
      <c r="X1081" s="6"/>
      <c r="Y1081" s="6"/>
      <c r="Z1081" s="6"/>
      <c r="AA1081" s="6" t="s">
        <v>563</v>
      </c>
      <c r="AB1081" s="8"/>
    </row>
    <row r="1082" spans="1:28" s="4" customFormat="1" ht="51.95" customHeight="1">
      <c r="A1082" s="5">
        <v>0</v>
      </c>
      <c r="B1082" s="6" t="s">
        <v>6990</v>
      </c>
      <c r="C1082" s="13">
        <v>530</v>
      </c>
      <c r="D1082" s="8" t="s">
        <v>6991</v>
      </c>
      <c r="E1082" s="8" t="s">
        <v>6992</v>
      </c>
      <c r="F1082" s="8" t="s">
        <v>6993</v>
      </c>
      <c r="G1082" s="6" t="s">
        <v>67</v>
      </c>
      <c r="H1082" s="6" t="s">
        <v>39</v>
      </c>
      <c r="I1082" s="8" t="s">
        <v>40</v>
      </c>
      <c r="J1082" s="9">
        <v>1</v>
      </c>
      <c r="K1082" s="9">
        <v>96</v>
      </c>
      <c r="L1082" s="9">
        <v>2023</v>
      </c>
      <c r="M1082" s="8" t="s">
        <v>6994</v>
      </c>
      <c r="N1082" s="8" t="s">
        <v>42</v>
      </c>
      <c r="O1082" s="8" t="s">
        <v>169</v>
      </c>
      <c r="P1082" s="6" t="s">
        <v>44</v>
      </c>
      <c r="Q1082" s="8" t="s">
        <v>45</v>
      </c>
      <c r="R1082" s="10" t="s">
        <v>6995</v>
      </c>
      <c r="S1082" s="11" t="s">
        <v>6996</v>
      </c>
      <c r="T1082" s="6"/>
      <c r="U1082" s="24" t="str">
        <f>HYPERLINK("https://media.infra-m.ru/0999/0999930/cover/999930.jpg", "Обложка")</f>
        <v>Обложка</v>
      </c>
      <c r="V1082" s="24" t="str">
        <f>HYPERLINK("https://znanium.ru/catalog/product/999930", "Ознакомиться")</f>
        <v>Ознакомиться</v>
      </c>
      <c r="W1082" s="8" t="s">
        <v>3009</v>
      </c>
      <c r="X1082" s="6"/>
      <c r="Y1082" s="6"/>
      <c r="Z1082" s="6" t="s">
        <v>48</v>
      </c>
      <c r="AA1082" s="6" t="s">
        <v>102</v>
      </c>
      <c r="AB1082" s="8"/>
    </row>
    <row r="1083" spans="1:28" s="4" customFormat="1" ht="51.95" customHeight="1">
      <c r="A1083" s="5">
        <v>0</v>
      </c>
      <c r="B1083" s="6" t="s">
        <v>6997</v>
      </c>
      <c r="C1083" s="7">
        <v>1840</v>
      </c>
      <c r="D1083" s="8" t="s">
        <v>6998</v>
      </c>
      <c r="E1083" s="8" t="s">
        <v>6999</v>
      </c>
      <c r="F1083" s="8" t="s">
        <v>7000</v>
      </c>
      <c r="G1083" s="6" t="s">
        <v>90</v>
      </c>
      <c r="H1083" s="6" t="s">
        <v>54</v>
      </c>
      <c r="I1083" s="8" t="s">
        <v>40</v>
      </c>
      <c r="J1083" s="9">
        <v>1</v>
      </c>
      <c r="K1083" s="9">
        <v>334</v>
      </c>
      <c r="L1083" s="9">
        <v>2026</v>
      </c>
      <c r="M1083" s="8" t="s">
        <v>7001</v>
      </c>
      <c r="N1083" s="8" t="s">
        <v>42</v>
      </c>
      <c r="O1083" s="8" t="s">
        <v>1370</v>
      </c>
      <c r="P1083" s="6" t="s">
        <v>58</v>
      </c>
      <c r="Q1083" s="8" t="s">
        <v>45</v>
      </c>
      <c r="R1083" s="10" t="s">
        <v>7002</v>
      </c>
      <c r="S1083" s="11" t="s">
        <v>7003</v>
      </c>
      <c r="T1083" s="6"/>
      <c r="U1083" s="24" t="str">
        <f>HYPERLINK("https://media.infra-m.ru/2224/2224067/cover/2224067.jpg", "Обложка")</f>
        <v>Обложка</v>
      </c>
      <c r="V1083" s="24" t="str">
        <f>HYPERLINK("https://znanium.ru/catalog/product/2224067", "Ознакомиться")</f>
        <v>Ознакомиться</v>
      </c>
      <c r="W1083" s="8" t="s">
        <v>6170</v>
      </c>
      <c r="X1083" s="6"/>
      <c r="Y1083" s="6" t="s">
        <v>30</v>
      </c>
      <c r="Z1083" s="6"/>
      <c r="AA1083" s="6" t="s">
        <v>2226</v>
      </c>
      <c r="AB1083" s="8"/>
    </row>
    <row r="1084" spans="1:28" s="4" customFormat="1" ht="51.95" customHeight="1">
      <c r="A1084" s="5">
        <v>0</v>
      </c>
      <c r="B1084" s="6" t="s">
        <v>7004</v>
      </c>
      <c r="C1084" s="13">
        <v>924.9</v>
      </c>
      <c r="D1084" s="8" t="s">
        <v>7005</v>
      </c>
      <c r="E1084" s="8" t="s">
        <v>7006</v>
      </c>
      <c r="F1084" s="8" t="s">
        <v>6491</v>
      </c>
      <c r="G1084" s="6" t="s">
        <v>38</v>
      </c>
      <c r="H1084" s="6" t="s">
        <v>54</v>
      </c>
      <c r="I1084" s="8" t="s">
        <v>40</v>
      </c>
      <c r="J1084" s="9">
        <v>1</v>
      </c>
      <c r="K1084" s="9">
        <v>271</v>
      </c>
      <c r="L1084" s="9">
        <v>2019</v>
      </c>
      <c r="M1084" s="8" t="s">
        <v>7007</v>
      </c>
      <c r="N1084" s="8" t="s">
        <v>42</v>
      </c>
      <c r="O1084" s="8" t="s">
        <v>1370</v>
      </c>
      <c r="P1084" s="6" t="s">
        <v>58</v>
      </c>
      <c r="Q1084" s="8" t="s">
        <v>45</v>
      </c>
      <c r="R1084" s="10" t="s">
        <v>7002</v>
      </c>
      <c r="S1084" s="11"/>
      <c r="T1084" s="6"/>
      <c r="U1084" s="24" t="str">
        <f>HYPERLINK("https://media.infra-m.ru/0994/0994459/cover/994459.jpg", "Обложка")</f>
        <v>Обложка</v>
      </c>
      <c r="V1084" s="24" t="str">
        <f>HYPERLINK("https://znanium.ru/catalog/product/2224067", "Ознакомиться")</f>
        <v>Ознакомиться</v>
      </c>
      <c r="W1084" s="8" t="s">
        <v>6170</v>
      </c>
      <c r="X1084" s="6"/>
      <c r="Y1084" s="6" t="s">
        <v>30</v>
      </c>
      <c r="Z1084" s="6"/>
      <c r="AA1084" s="6" t="s">
        <v>696</v>
      </c>
      <c r="AB1084" s="8"/>
    </row>
    <row r="1085" spans="1:28" s="4" customFormat="1" ht="51.95" customHeight="1">
      <c r="A1085" s="5">
        <v>0</v>
      </c>
      <c r="B1085" s="6" t="s">
        <v>7008</v>
      </c>
      <c r="C1085" s="7">
        <v>1230</v>
      </c>
      <c r="D1085" s="8" t="s">
        <v>7009</v>
      </c>
      <c r="E1085" s="8" t="s">
        <v>7010</v>
      </c>
      <c r="F1085" s="8" t="s">
        <v>7011</v>
      </c>
      <c r="G1085" s="6" t="s">
        <v>90</v>
      </c>
      <c r="H1085" s="6" t="s">
        <v>54</v>
      </c>
      <c r="I1085" s="8" t="s">
        <v>40</v>
      </c>
      <c r="J1085" s="9">
        <v>1</v>
      </c>
      <c r="K1085" s="9">
        <v>236</v>
      </c>
      <c r="L1085" s="9">
        <v>2026</v>
      </c>
      <c r="M1085" s="8" t="s">
        <v>7012</v>
      </c>
      <c r="N1085" s="8" t="s">
        <v>42</v>
      </c>
      <c r="O1085" s="8" t="s">
        <v>1370</v>
      </c>
      <c r="P1085" s="6" t="s">
        <v>44</v>
      </c>
      <c r="Q1085" s="8" t="s">
        <v>45</v>
      </c>
      <c r="R1085" s="10" t="s">
        <v>7013</v>
      </c>
      <c r="S1085" s="11" t="s">
        <v>7014</v>
      </c>
      <c r="T1085" s="6"/>
      <c r="U1085" s="24" t="str">
        <f>HYPERLINK("https://media.infra-m.ru/2213/2213297/cover/2213297.jpg", "Обложка")</f>
        <v>Обложка</v>
      </c>
      <c r="V1085" s="24" t="str">
        <f>HYPERLINK("https://znanium.ru/catalog/product/2213297", "Ознакомиться")</f>
        <v>Ознакомиться</v>
      </c>
      <c r="W1085" s="8" t="s">
        <v>4743</v>
      </c>
      <c r="X1085" s="6"/>
      <c r="Y1085" s="6" t="s">
        <v>30</v>
      </c>
      <c r="Z1085" s="6"/>
      <c r="AA1085" s="6" t="s">
        <v>443</v>
      </c>
      <c r="AB1085" s="8"/>
    </row>
    <row r="1086" spans="1:28" s="4" customFormat="1" ht="51.95" customHeight="1">
      <c r="A1086" s="5">
        <v>0</v>
      </c>
      <c r="B1086" s="6" t="s">
        <v>7015</v>
      </c>
      <c r="C1086" s="7">
        <v>1434</v>
      </c>
      <c r="D1086" s="8" t="s">
        <v>7016</v>
      </c>
      <c r="E1086" s="8" t="s">
        <v>7017</v>
      </c>
      <c r="F1086" s="8" t="s">
        <v>1802</v>
      </c>
      <c r="G1086" s="6" t="s">
        <v>67</v>
      </c>
      <c r="H1086" s="6" t="s">
        <v>54</v>
      </c>
      <c r="I1086" s="8" t="s">
        <v>40</v>
      </c>
      <c r="J1086" s="9">
        <v>1</v>
      </c>
      <c r="K1086" s="9">
        <v>132</v>
      </c>
      <c r="L1086" s="9">
        <v>2026</v>
      </c>
      <c r="M1086" s="8" t="s">
        <v>7018</v>
      </c>
      <c r="N1086" s="8" t="s">
        <v>42</v>
      </c>
      <c r="O1086" s="8" t="s">
        <v>1370</v>
      </c>
      <c r="P1086" s="6" t="s">
        <v>44</v>
      </c>
      <c r="Q1086" s="8" t="s">
        <v>45</v>
      </c>
      <c r="R1086" s="10" t="s">
        <v>7019</v>
      </c>
      <c r="S1086" s="11" t="s">
        <v>7020</v>
      </c>
      <c r="T1086" s="6"/>
      <c r="U1086" s="24" t="str">
        <f>HYPERLINK("https://media.infra-m.ru/2219/2219450/cover/2219450.jpg", "Обложка")</f>
        <v>Обложка</v>
      </c>
      <c r="V1086" s="24" t="str">
        <f>HYPERLINK("https://znanium.ru/catalog/product/2173638", "Ознакомиться")</f>
        <v>Ознакомиться</v>
      </c>
      <c r="W1086" s="8" t="s">
        <v>1797</v>
      </c>
      <c r="X1086" s="6"/>
      <c r="Y1086" s="6" t="s">
        <v>30</v>
      </c>
      <c r="Z1086" s="6"/>
      <c r="AA1086" s="6" t="s">
        <v>507</v>
      </c>
      <c r="AB1086" s="8"/>
    </row>
    <row r="1087" spans="1:28" s="4" customFormat="1" ht="51.95" customHeight="1">
      <c r="A1087" s="5">
        <v>0</v>
      </c>
      <c r="B1087" s="6" t="s">
        <v>7021</v>
      </c>
      <c r="C1087" s="7">
        <v>1664</v>
      </c>
      <c r="D1087" s="8" t="s">
        <v>7022</v>
      </c>
      <c r="E1087" s="8" t="s">
        <v>7023</v>
      </c>
      <c r="F1087" s="8" t="s">
        <v>7024</v>
      </c>
      <c r="G1087" s="6" t="s">
        <v>90</v>
      </c>
      <c r="H1087" s="6" t="s">
        <v>54</v>
      </c>
      <c r="I1087" s="8" t="s">
        <v>40</v>
      </c>
      <c r="J1087" s="9">
        <v>1</v>
      </c>
      <c r="K1087" s="9">
        <v>320</v>
      </c>
      <c r="L1087" s="9">
        <v>2026</v>
      </c>
      <c r="M1087" s="8" t="s">
        <v>7025</v>
      </c>
      <c r="N1087" s="8" t="s">
        <v>42</v>
      </c>
      <c r="O1087" s="8" t="s">
        <v>1370</v>
      </c>
      <c r="P1087" s="6" t="s">
        <v>58</v>
      </c>
      <c r="Q1087" s="8" t="s">
        <v>45</v>
      </c>
      <c r="R1087" s="10" t="s">
        <v>7026</v>
      </c>
      <c r="S1087" s="11" t="s">
        <v>7027</v>
      </c>
      <c r="T1087" s="6"/>
      <c r="U1087" s="24" t="str">
        <f>HYPERLINK("https://media.infra-m.ru/2217/2217542/cover/2217542.jpg", "Обложка")</f>
        <v>Обложка</v>
      </c>
      <c r="V1087" s="24" t="str">
        <f>HYPERLINK("https://znanium.ru/catalog/product/2197610", "Ознакомиться")</f>
        <v>Ознакомиться</v>
      </c>
      <c r="W1087" s="8" t="s">
        <v>2309</v>
      </c>
      <c r="X1087" s="6"/>
      <c r="Y1087" s="6" t="s">
        <v>30</v>
      </c>
      <c r="Z1087" s="6"/>
      <c r="AA1087" s="6" t="s">
        <v>835</v>
      </c>
      <c r="AB1087" s="8"/>
    </row>
    <row r="1088" spans="1:28" s="4" customFormat="1" ht="51.95" customHeight="1">
      <c r="A1088" s="5">
        <v>0</v>
      </c>
      <c r="B1088" s="6" t="s">
        <v>7028</v>
      </c>
      <c r="C1088" s="7">
        <v>1990</v>
      </c>
      <c r="D1088" s="8" t="s">
        <v>7029</v>
      </c>
      <c r="E1088" s="8" t="s">
        <v>7023</v>
      </c>
      <c r="F1088" s="8" t="s">
        <v>7030</v>
      </c>
      <c r="G1088" s="6" t="s">
        <v>90</v>
      </c>
      <c r="H1088" s="6" t="s">
        <v>54</v>
      </c>
      <c r="I1088" s="8" t="s">
        <v>40</v>
      </c>
      <c r="J1088" s="9">
        <v>1</v>
      </c>
      <c r="K1088" s="9">
        <v>376</v>
      </c>
      <c r="L1088" s="9">
        <v>2026</v>
      </c>
      <c r="M1088" s="8" t="s">
        <v>7031</v>
      </c>
      <c r="N1088" s="8" t="s">
        <v>42</v>
      </c>
      <c r="O1088" s="8" t="s">
        <v>1370</v>
      </c>
      <c r="P1088" s="6" t="s">
        <v>44</v>
      </c>
      <c r="Q1088" s="8" t="s">
        <v>45</v>
      </c>
      <c r="R1088" s="10" t="s">
        <v>7032</v>
      </c>
      <c r="S1088" s="11" t="s">
        <v>6296</v>
      </c>
      <c r="T1088" s="6"/>
      <c r="U1088" s="24" t="str">
        <f>HYPERLINK("https://media.infra-m.ru/2213/2213301/cover/2213301.jpg", "Обложка")</f>
        <v>Обложка</v>
      </c>
      <c r="V1088" s="24" t="str">
        <f>HYPERLINK("https://znanium.ru/catalog/product/2213301", "Ознакомиться")</f>
        <v>Ознакомиться</v>
      </c>
      <c r="W1088" s="8" t="s">
        <v>1943</v>
      </c>
      <c r="X1088" s="6"/>
      <c r="Y1088" s="6" t="s">
        <v>30</v>
      </c>
      <c r="Z1088" s="6"/>
      <c r="AA1088" s="6" t="s">
        <v>111</v>
      </c>
      <c r="AB1088" s="8"/>
    </row>
    <row r="1089" spans="1:28" s="4" customFormat="1" ht="51.95" customHeight="1">
      <c r="A1089" s="5">
        <v>0</v>
      </c>
      <c r="B1089" s="6" t="s">
        <v>7033</v>
      </c>
      <c r="C1089" s="7">
        <v>1170</v>
      </c>
      <c r="D1089" s="8" t="s">
        <v>7034</v>
      </c>
      <c r="E1089" s="8" t="s">
        <v>7035</v>
      </c>
      <c r="F1089" s="8" t="s">
        <v>7036</v>
      </c>
      <c r="G1089" s="6" t="s">
        <v>90</v>
      </c>
      <c r="H1089" s="6" t="s">
        <v>54</v>
      </c>
      <c r="I1089" s="8" t="s">
        <v>40</v>
      </c>
      <c r="J1089" s="9">
        <v>1</v>
      </c>
      <c r="K1089" s="9">
        <v>224</v>
      </c>
      <c r="L1089" s="9">
        <v>2026</v>
      </c>
      <c r="M1089" s="8" t="s">
        <v>7037</v>
      </c>
      <c r="N1089" s="8" t="s">
        <v>42</v>
      </c>
      <c r="O1089" s="8" t="s">
        <v>319</v>
      </c>
      <c r="P1089" s="6" t="s">
        <v>44</v>
      </c>
      <c r="Q1089" s="8" t="s">
        <v>45</v>
      </c>
      <c r="R1089" s="10" t="s">
        <v>7038</v>
      </c>
      <c r="S1089" s="11" t="s">
        <v>7039</v>
      </c>
      <c r="T1089" s="6"/>
      <c r="U1089" s="24" t="str">
        <f>HYPERLINK("https://media.infra-m.ru/2139/2139940/cover/2139940.jpg", "Обложка")</f>
        <v>Обложка</v>
      </c>
      <c r="V1089" s="24" t="str">
        <f>HYPERLINK("https://znanium.ru/catalog/product/2139940", "Ознакомиться")</f>
        <v>Ознакомиться</v>
      </c>
      <c r="W1089" s="8" t="s">
        <v>293</v>
      </c>
      <c r="X1089" s="6"/>
      <c r="Y1089" s="6"/>
      <c r="Z1089" s="6" t="s">
        <v>48</v>
      </c>
      <c r="AA1089" s="6" t="s">
        <v>999</v>
      </c>
      <c r="AB1089" s="8"/>
    </row>
    <row r="1090" spans="1:28" s="4" customFormat="1" ht="51.95" customHeight="1">
      <c r="A1090" s="5">
        <v>0</v>
      </c>
      <c r="B1090" s="6" t="s">
        <v>7040</v>
      </c>
      <c r="C1090" s="7">
        <v>1764</v>
      </c>
      <c r="D1090" s="8" t="s">
        <v>7041</v>
      </c>
      <c r="E1090" s="8" t="s">
        <v>7042</v>
      </c>
      <c r="F1090" s="8" t="s">
        <v>7043</v>
      </c>
      <c r="G1090" s="6" t="s">
        <v>90</v>
      </c>
      <c r="H1090" s="6" t="s">
        <v>54</v>
      </c>
      <c r="I1090" s="8" t="s">
        <v>40</v>
      </c>
      <c r="J1090" s="9">
        <v>1</v>
      </c>
      <c r="K1090" s="9">
        <v>338</v>
      </c>
      <c r="L1090" s="9">
        <v>2026</v>
      </c>
      <c r="M1090" s="8" t="s">
        <v>7044</v>
      </c>
      <c r="N1090" s="8" t="s">
        <v>42</v>
      </c>
      <c r="O1090" s="8" t="s">
        <v>187</v>
      </c>
      <c r="P1090" s="6" t="s">
        <v>58</v>
      </c>
      <c r="Q1090" s="8" t="s">
        <v>45</v>
      </c>
      <c r="R1090" s="10" t="s">
        <v>7045</v>
      </c>
      <c r="S1090" s="11" t="s">
        <v>4077</v>
      </c>
      <c r="T1090" s="6"/>
      <c r="U1090" s="24" t="str">
        <f>HYPERLINK("https://media.infra-m.ru/2220/2220954/cover/2220954.jpg", "Обложка")</f>
        <v>Обложка</v>
      </c>
      <c r="V1090" s="24" t="str">
        <f>HYPERLINK("https://znanium.ru/catalog/product/2096290", "Ознакомиться")</f>
        <v>Ознакомиться</v>
      </c>
      <c r="W1090" s="8"/>
      <c r="X1090" s="6"/>
      <c r="Y1090" s="6" t="s">
        <v>30</v>
      </c>
      <c r="Z1090" s="6"/>
      <c r="AA1090" s="6" t="s">
        <v>1547</v>
      </c>
      <c r="AB1090" s="8"/>
    </row>
    <row r="1091" spans="1:28" s="4" customFormat="1" ht="51.95" customHeight="1">
      <c r="A1091" s="5">
        <v>0</v>
      </c>
      <c r="B1091" s="6" t="s">
        <v>7046</v>
      </c>
      <c r="C1091" s="7">
        <v>1794</v>
      </c>
      <c r="D1091" s="8" t="s">
        <v>7047</v>
      </c>
      <c r="E1091" s="8" t="s">
        <v>7048</v>
      </c>
      <c r="F1091" s="8" t="s">
        <v>7049</v>
      </c>
      <c r="G1091" s="6" t="s">
        <v>90</v>
      </c>
      <c r="H1091" s="6" t="s">
        <v>54</v>
      </c>
      <c r="I1091" s="8" t="s">
        <v>40</v>
      </c>
      <c r="J1091" s="9">
        <v>1</v>
      </c>
      <c r="K1091" s="9">
        <v>359</v>
      </c>
      <c r="L1091" s="9">
        <v>2025</v>
      </c>
      <c r="M1091" s="8" t="s">
        <v>7050</v>
      </c>
      <c r="N1091" s="8" t="s">
        <v>42</v>
      </c>
      <c r="O1091" s="8" t="s">
        <v>187</v>
      </c>
      <c r="P1091" s="6" t="s">
        <v>44</v>
      </c>
      <c r="Q1091" s="8" t="s">
        <v>45</v>
      </c>
      <c r="R1091" s="10" t="s">
        <v>7051</v>
      </c>
      <c r="S1091" s="11" t="s">
        <v>7052</v>
      </c>
      <c r="T1091" s="6"/>
      <c r="U1091" s="24" t="str">
        <f>HYPERLINK("https://media.infra-m.ru/2182/2182622/cover/2182622.jpg", "Обложка")</f>
        <v>Обложка</v>
      </c>
      <c r="V1091" s="24" t="str">
        <f>HYPERLINK("https://znanium.ru/catalog/product/1860099", "Ознакомиться")</f>
        <v>Ознакомиться</v>
      </c>
      <c r="W1091" s="8" t="s">
        <v>1373</v>
      </c>
      <c r="X1091" s="6"/>
      <c r="Y1091" s="6"/>
      <c r="Z1091" s="6" t="s">
        <v>207</v>
      </c>
      <c r="AA1091" s="6" t="s">
        <v>740</v>
      </c>
      <c r="AB1091" s="8"/>
    </row>
    <row r="1092" spans="1:28" s="4" customFormat="1" ht="51.95" customHeight="1">
      <c r="A1092" s="5">
        <v>0</v>
      </c>
      <c r="B1092" s="6" t="s">
        <v>7053</v>
      </c>
      <c r="C1092" s="7">
        <v>2064</v>
      </c>
      <c r="D1092" s="8" t="s">
        <v>7054</v>
      </c>
      <c r="E1092" s="8" t="s">
        <v>7055</v>
      </c>
      <c r="F1092" s="8" t="s">
        <v>5897</v>
      </c>
      <c r="G1092" s="6" t="s">
        <v>90</v>
      </c>
      <c r="H1092" s="6" t="s">
        <v>54</v>
      </c>
      <c r="I1092" s="8" t="s">
        <v>40</v>
      </c>
      <c r="J1092" s="9">
        <v>1</v>
      </c>
      <c r="K1092" s="9">
        <v>396</v>
      </c>
      <c r="L1092" s="9">
        <v>2026</v>
      </c>
      <c r="M1092" s="8" t="s">
        <v>7056</v>
      </c>
      <c r="N1092" s="8" t="s">
        <v>42</v>
      </c>
      <c r="O1092" s="8" t="s">
        <v>43</v>
      </c>
      <c r="P1092" s="6" t="s">
        <v>44</v>
      </c>
      <c r="Q1092" s="8" t="s">
        <v>45</v>
      </c>
      <c r="R1092" s="10" t="s">
        <v>7057</v>
      </c>
      <c r="S1092" s="11" t="s">
        <v>7058</v>
      </c>
      <c r="T1092" s="6" t="s">
        <v>118</v>
      </c>
      <c r="U1092" s="24" t="str">
        <f>HYPERLINK("https://media.infra-m.ru/2215/2215726/cover/2215726.jpg", "Обложка")</f>
        <v>Обложка</v>
      </c>
      <c r="V1092" s="24" t="str">
        <f>HYPERLINK("https://znanium.ru/catalog/product/2126820", "Ознакомиться")</f>
        <v>Ознакомиться</v>
      </c>
      <c r="W1092" s="8" t="s">
        <v>5901</v>
      </c>
      <c r="X1092" s="6"/>
      <c r="Y1092" s="6"/>
      <c r="Z1092" s="6" t="s">
        <v>48</v>
      </c>
      <c r="AA1092" s="6" t="s">
        <v>111</v>
      </c>
      <c r="AB1092" s="8"/>
    </row>
    <row r="1093" spans="1:28" s="4" customFormat="1" ht="51.95" customHeight="1">
      <c r="A1093" s="5">
        <v>0</v>
      </c>
      <c r="B1093" s="6" t="s">
        <v>7059</v>
      </c>
      <c r="C1093" s="7">
        <v>1334</v>
      </c>
      <c r="D1093" s="8" t="s">
        <v>7060</v>
      </c>
      <c r="E1093" s="8" t="s">
        <v>7061</v>
      </c>
      <c r="F1093" s="8" t="s">
        <v>4337</v>
      </c>
      <c r="G1093" s="6" t="s">
        <v>90</v>
      </c>
      <c r="H1093" s="6" t="s">
        <v>824</v>
      </c>
      <c r="I1093" s="8" t="s">
        <v>40</v>
      </c>
      <c r="J1093" s="9">
        <v>1</v>
      </c>
      <c r="K1093" s="9">
        <v>256</v>
      </c>
      <c r="L1093" s="9">
        <v>2025</v>
      </c>
      <c r="M1093" s="8" t="s">
        <v>7062</v>
      </c>
      <c r="N1093" s="8" t="s">
        <v>42</v>
      </c>
      <c r="O1093" s="8" t="s">
        <v>43</v>
      </c>
      <c r="P1093" s="6" t="s">
        <v>58</v>
      </c>
      <c r="Q1093" s="8" t="s">
        <v>45</v>
      </c>
      <c r="R1093" s="10" t="s">
        <v>7063</v>
      </c>
      <c r="S1093" s="11"/>
      <c r="T1093" s="6"/>
      <c r="U1093" s="24" t="str">
        <f>HYPERLINK("https://media.infra-m.ru/2196/2196128/cover/2196128.jpg", "Обложка")</f>
        <v>Обложка</v>
      </c>
      <c r="V1093" s="24" t="str">
        <f>HYPERLINK("https://znanium.ru/catalog/product/1214881", "Ознакомиться")</f>
        <v>Ознакомиться</v>
      </c>
      <c r="W1093" s="8" t="s">
        <v>956</v>
      </c>
      <c r="X1093" s="6"/>
      <c r="Y1093" s="6"/>
      <c r="Z1093" s="6"/>
      <c r="AA1093" s="6" t="s">
        <v>766</v>
      </c>
      <c r="AB1093" s="8"/>
    </row>
    <row r="1094" spans="1:28" s="4" customFormat="1" ht="51.95" customHeight="1">
      <c r="A1094" s="5">
        <v>0</v>
      </c>
      <c r="B1094" s="6" t="s">
        <v>7064</v>
      </c>
      <c r="C1094" s="7">
        <v>1140</v>
      </c>
      <c r="D1094" s="8" t="s">
        <v>7065</v>
      </c>
      <c r="E1094" s="8" t="s">
        <v>7061</v>
      </c>
      <c r="F1094" s="8" t="s">
        <v>4337</v>
      </c>
      <c r="G1094" s="6" t="s">
        <v>90</v>
      </c>
      <c r="H1094" s="6" t="s">
        <v>824</v>
      </c>
      <c r="I1094" s="8" t="s">
        <v>40</v>
      </c>
      <c r="J1094" s="9">
        <v>1</v>
      </c>
      <c r="K1094" s="9">
        <v>242</v>
      </c>
      <c r="L1094" s="9">
        <v>2024</v>
      </c>
      <c r="M1094" s="8" t="s">
        <v>7066</v>
      </c>
      <c r="N1094" s="8" t="s">
        <v>42</v>
      </c>
      <c r="O1094" s="8" t="s">
        <v>43</v>
      </c>
      <c r="P1094" s="6" t="s">
        <v>58</v>
      </c>
      <c r="Q1094" s="8" t="s">
        <v>45</v>
      </c>
      <c r="R1094" s="10" t="s">
        <v>7067</v>
      </c>
      <c r="S1094" s="11"/>
      <c r="T1094" s="6"/>
      <c r="U1094" s="24" t="str">
        <f>HYPERLINK("https://media.infra-m.ru/2112/2112889/cover/2112889.jpg", "Обложка")</f>
        <v>Обложка</v>
      </c>
      <c r="V1094" s="24" t="str">
        <f>HYPERLINK("https://znanium.ru/catalog/product/2112889", "Ознакомиться")</f>
        <v>Ознакомиться</v>
      </c>
      <c r="W1094" s="8" t="s">
        <v>956</v>
      </c>
      <c r="X1094" s="6"/>
      <c r="Y1094" s="6" t="s">
        <v>30</v>
      </c>
      <c r="Z1094" s="6"/>
      <c r="AA1094" s="6" t="s">
        <v>766</v>
      </c>
      <c r="AB1094" s="8"/>
    </row>
    <row r="1095" spans="1:28" s="4" customFormat="1" ht="51.95" customHeight="1">
      <c r="A1095" s="5">
        <v>0</v>
      </c>
      <c r="B1095" s="6" t="s">
        <v>7068</v>
      </c>
      <c r="C1095" s="7">
        <v>1994</v>
      </c>
      <c r="D1095" s="8" t="s">
        <v>7069</v>
      </c>
      <c r="E1095" s="8" t="s">
        <v>7070</v>
      </c>
      <c r="F1095" s="8" t="s">
        <v>7071</v>
      </c>
      <c r="G1095" s="6" t="s">
        <v>38</v>
      </c>
      <c r="H1095" s="6" t="s">
        <v>39</v>
      </c>
      <c r="I1095" s="8" t="s">
        <v>69</v>
      </c>
      <c r="J1095" s="9">
        <v>1</v>
      </c>
      <c r="K1095" s="9">
        <v>608</v>
      </c>
      <c r="L1095" s="9">
        <v>2024</v>
      </c>
      <c r="M1095" s="8" t="s">
        <v>7072</v>
      </c>
      <c r="N1095" s="8" t="s">
        <v>42</v>
      </c>
      <c r="O1095" s="8" t="s">
        <v>43</v>
      </c>
      <c r="P1095" s="6" t="s">
        <v>58</v>
      </c>
      <c r="Q1095" s="8" t="s">
        <v>45</v>
      </c>
      <c r="R1095" s="10" t="s">
        <v>7073</v>
      </c>
      <c r="S1095" s="11" t="s">
        <v>7074</v>
      </c>
      <c r="T1095" s="6"/>
      <c r="U1095" s="24" t="str">
        <f>HYPERLINK("https://media.infra-m.ru/2054/2054179/cover/2054179.jpg", "Обложка")</f>
        <v>Обложка</v>
      </c>
      <c r="V1095" s="24" t="str">
        <f>HYPERLINK("https://znanium.ru/catalog/product/1189949", "Ознакомиться")</f>
        <v>Ознакомиться</v>
      </c>
      <c r="W1095" s="8" t="s">
        <v>818</v>
      </c>
      <c r="X1095" s="6"/>
      <c r="Y1095" s="6"/>
      <c r="Z1095" s="6"/>
      <c r="AA1095" s="6" t="s">
        <v>5933</v>
      </c>
      <c r="AB1095" s="8"/>
    </row>
    <row r="1096" spans="1:28" s="4" customFormat="1" ht="51.95" customHeight="1">
      <c r="A1096" s="5">
        <v>0</v>
      </c>
      <c r="B1096" s="6" t="s">
        <v>7075</v>
      </c>
      <c r="C1096" s="7">
        <v>1390</v>
      </c>
      <c r="D1096" s="8" t="s">
        <v>7076</v>
      </c>
      <c r="E1096" s="8" t="s">
        <v>7077</v>
      </c>
      <c r="F1096" s="8" t="s">
        <v>7078</v>
      </c>
      <c r="G1096" s="6" t="s">
        <v>90</v>
      </c>
      <c r="H1096" s="6" t="s">
        <v>54</v>
      </c>
      <c r="I1096" s="8" t="s">
        <v>40</v>
      </c>
      <c r="J1096" s="9">
        <v>1</v>
      </c>
      <c r="K1096" s="9">
        <v>260</v>
      </c>
      <c r="L1096" s="9">
        <v>2026</v>
      </c>
      <c r="M1096" s="8" t="s">
        <v>7079</v>
      </c>
      <c r="N1096" s="8" t="s">
        <v>42</v>
      </c>
      <c r="O1096" s="8" t="s">
        <v>43</v>
      </c>
      <c r="P1096" s="6" t="s">
        <v>44</v>
      </c>
      <c r="Q1096" s="8" t="s">
        <v>45</v>
      </c>
      <c r="R1096" s="10" t="s">
        <v>7080</v>
      </c>
      <c r="S1096" s="11" t="s">
        <v>7081</v>
      </c>
      <c r="T1096" s="6"/>
      <c r="U1096" s="24" t="str">
        <f>HYPERLINK("https://media.infra-m.ru/2216/2216887/cover/2216887.jpg", "Обложка")</f>
        <v>Обложка</v>
      </c>
      <c r="V1096" s="24" t="str">
        <f>HYPERLINK("https://znanium.ru/catalog/product/2216887", "Ознакомиться")</f>
        <v>Ознакомиться</v>
      </c>
      <c r="W1096" s="8" t="s">
        <v>834</v>
      </c>
      <c r="X1096" s="6"/>
      <c r="Y1096" s="6" t="s">
        <v>30</v>
      </c>
      <c r="Z1096" s="6"/>
      <c r="AA1096" s="6" t="s">
        <v>999</v>
      </c>
      <c r="AB1096" s="8"/>
    </row>
    <row r="1097" spans="1:28" s="4" customFormat="1" ht="51.95" customHeight="1">
      <c r="A1097" s="5">
        <v>0</v>
      </c>
      <c r="B1097" s="6" t="s">
        <v>7082</v>
      </c>
      <c r="C1097" s="13">
        <v>820</v>
      </c>
      <c r="D1097" s="8" t="s">
        <v>7083</v>
      </c>
      <c r="E1097" s="8" t="s">
        <v>7061</v>
      </c>
      <c r="F1097" s="8" t="s">
        <v>7084</v>
      </c>
      <c r="G1097" s="6" t="s">
        <v>90</v>
      </c>
      <c r="H1097" s="6" t="s">
        <v>299</v>
      </c>
      <c r="I1097" s="8" t="s">
        <v>40</v>
      </c>
      <c r="J1097" s="9">
        <v>1</v>
      </c>
      <c r="K1097" s="9">
        <v>256</v>
      </c>
      <c r="L1097" s="9">
        <v>2019</v>
      </c>
      <c r="M1097" s="8" t="s">
        <v>7085</v>
      </c>
      <c r="N1097" s="8" t="s">
        <v>42</v>
      </c>
      <c r="O1097" s="8" t="s">
        <v>43</v>
      </c>
      <c r="P1097" s="6" t="s">
        <v>44</v>
      </c>
      <c r="Q1097" s="8" t="s">
        <v>45</v>
      </c>
      <c r="R1097" s="10" t="s">
        <v>7080</v>
      </c>
      <c r="S1097" s="11" t="s">
        <v>7086</v>
      </c>
      <c r="T1097" s="6"/>
      <c r="U1097" s="24" t="str">
        <f>HYPERLINK("https://media.infra-m.ru/1021/1021128/cover/1021128.jpg", "Обложка")</f>
        <v>Обложка</v>
      </c>
      <c r="V1097" s="24" t="str">
        <f>HYPERLINK("https://znanium.ru/catalog/product/2216887", "Ознакомиться")</f>
        <v>Ознакомиться</v>
      </c>
      <c r="W1097" s="8" t="s">
        <v>834</v>
      </c>
      <c r="X1097" s="6"/>
      <c r="Y1097" s="6" t="s">
        <v>30</v>
      </c>
      <c r="Z1097" s="6"/>
      <c r="AA1097" s="6" t="s">
        <v>278</v>
      </c>
      <c r="AB1097" s="8"/>
    </row>
    <row r="1098" spans="1:28" s="4" customFormat="1" ht="51.95" customHeight="1">
      <c r="A1098" s="5">
        <v>0</v>
      </c>
      <c r="B1098" s="6" t="s">
        <v>7087</v>
      </c>
      <c r="C1098" s="7">
        <v>1334</v>
      </c>
      <c r="D1098" s="8" t="s">
        <v>7088</v>
      </c>
      <c r="E1098" s="8" t="s">
        <v>7089</v>
      </c>
      <c r="F1098" s="8" t="s">
        <v>7090</v>
      </c>
      <c r="G1098" s="6" t="s">
        <v>38</v>
      </c>
      <c r="H1098" s="6" t="s">
        <v>54</v>
      </c>
      <c r="I1098" s="8" t="s">
        <v>40</v>
      </c>
      <c r="J1098" s="9">
        <v>1</v>
      </c>
      <c r="K1098" s="9">
        <v>282</v>
      </c>
      <c r="L1098" s="9">
        <v>2024</v>
      </c>
      <c r="M1098" s="8" t="s">
        <v>7091</v>
      </c>
      <c r="N1098" s="8" t="s">
        <v>42</v>
      </c>
      <c r="O1098" s="8" t="s">
        <v>243</v>
      </c>
      <c r="P1098" s="6" t="s">
        <v>44</v>
      </c>
      <c r="Q1098" s="8" t="s">
        <v>45</v>
      </c>
      <c r="R1098" s="10" t="s">
        <v>7092</v>
      </c>
      <c r="S1098" s="11" t="s">
        <v>7093</v>
      </c>
      <c r="T1098" s="6"/>
      <c r="U1098" s="24" t="str">
        <f>HYPERLINK("https://media.infra-m.ru/2152/2152112/cover/2152112.jpg", "Обложка")</f>
        <v>Обложка</v>
      </c>
      <c r="V1098" s="24" t="str">
        <f>HYPERLINK("https://znanium.ru/catalog/product/1858849", "Ознакомиться")</f>
        <v>Ознакомиться</v>
      </c>
      <c r="W1098" s="8" t="s">
        <v>2143</v>
      </c>
      <c r="X1098" s="6"/>
      <c r="Y1098" s="6"/>
      <c r="Z1098" s="6" t="s">
        <v>48</v>
      </c>
      <c r="AA1098" s="6" t="s">
        <v>111</v>
      </c>
      <c r="AB1098" s="8"/>
    </row>
    <row r="1099" spans="1:28" s="4" customFormat="1" ht="51.95" customHeight="1">
      <c r="A1099" s="5">
        <v>0</v>
      </c>
      <c r="B1099" s="6" t="s">
        <v>7094</v>
      </c>
      <c r="C1099" s="7">
        <v>2080</v>
      </c>
      <c r="D1099" s="8" t="s">
        <v>7095</v>
      </c>
      <c r="E1099" s="8" t="s">
        <v>7096</v>
      </c>
      <c r="F1099" s="8" t="s">
        <v>7097</v>
      </c>
      <c r="G1099" s="6" t="s">
        <v>90</v>
      </c>
      <c r="H1099" s="6" t="s">
        <v>54</v>
      </c>
      <c r="I1099" s="8" t="s">
        <v>40</v>
      </c>
      <c r="J1099" s="9">
        <v>1</v>
      </c>
      <c r="K1099" s="9">
        <v>400</v>
      </c>
      <c r="L1099" s="9">
        <v>2025</v>
      </c>
      <c r="M1099" s="8" t="s">
        <v>7098</v>
      </c>
      <c r="N1099" s="8" t="s">
        <v>42</v>
      </c>
      <c r="O1099" s="8" t="s">
        <v>187</v>
      </c>
      <c r="P1099" s="6" t="s">
        <v>58</v>
      </c>
      <c r="Q1099" s="8" t="s">
        <v>45</v>
      </c>
      <c r="R1099" s="10" t="s">
        <v>7099</v>
      </c>
      <c r="S1099" s="11" t="s">
        <v>7027</v>
      </c>
      <c r="T1099" s="6"/>
      <c r="U1099" s="24" t="str">
        <f>HYPERLINK("https://media.infra-m.ru/2171/2171476/cover/2171476.jpg", "Обложка")</f>
        <v>Обложка</v>
      </c>
      <c r="V1099" s="24" t="str">
        <f>HYPERLINK("https://znanium.ru/catalog/product/2171476", "Ознакомиться")</f>
        <v>Ознакомиться</v>
      </c>
      <c r="W1099" s="8" t="s">
        <v>180</v>
      </c>
      <c r="X1099" s="6"/>
      <c r="Y1099" s="6"/>
      <c r="Z1099" s="6"/>
      <c r="AA1099" s="6" t="s">
        <v>835</v>
      </c>
      <c r="AB1099" s="8"/>
    </row>
    <row r="1100" spans="1:28" s="4" customFormat="1" ht="51.95" customHeight="1">
      <c r="A1100" s="5">
        <v>0</v>
      </c>
      <c r="B1100" s="6" t="s">
        <v>7100</v>
      </c>
      <c r="C1100" s="7">
        <v>1084</v>
      </c>
      <c r="D1100" s="8" t="s">
        <v>7101</v>
      </c>
      <c r="E1100" s="8" t="s">
        <v>7102</v>
      </c>
      <c r="F1100" s="8" t="s">
        <v>5456</v>
      </c>
      <c r="G1100" s="6" t="s">
        <v>90</v>
      </c>
      <c r="H1100" s="6" t="s">
        <v>299</v>
      </c>
      <c r="I1100" s="8" t="s">
        <v>40</v>
      </c>
      <c r="J1100" s="9">
        <v>1</v>
      </c>
      <c r="K1100" s="9">
        <v>208</v>
      </c>
      <c r="L1100" s="9">
        <v>2026</v>
      </c>
      <c r="M1100" s="8" t="s">
        <v>7103</v>
      </c>
      <c r="N1100" s="8" t="s">
        <v>42</v>
      </c>
      <c r="O1100" s="8" t="s">
        <v>243</v>
      </c>
      <c r="P1100" s="6" t="s">
        <v>44</v>
      </c>
      <c r="Q1100" s="8" t="s">
        <v>45</v>
      </c>
      <c r="R1100" s="10" t="s">
        <v>1875</v>
      </c>
      <c r="S1100" s="11" t="s">
        <v>7104</v>
      </c>
      <c r="T1100" s="6"/>
      <c r="U1100" s="24" t="str">
        <f>HYPERLINK("https://media.infra-m.ru/2215/2215740/cover/2215740.jpg", "Обложка")</f>
        <v>Обложка</v>
      </c>
      <c r="V1100" s="24" t="str">
        <f>HYPERLINK("https://znanium.ru/catalog/product/2180542", "Ознакомиться")</f>
        <v>Ознакомиться</v>
      </c>
      <c r="W1100" s="8" t="s">
        <v>303</v>
      </c>
      <c r="X1100" s="6"/>
      <c r="Y1100" s="6"/>
      <c r="Z1100" s="6"/>
      <c r="AA1100" s="6" t="s">
        <v>988</v>
      </c>
      <c r="AB1100" s="8"/>
    </row>
    <row r="1101" spans="1:28" s="4" customFormat="1" ht="51.95" customHeight="1">
      <c r="A1101" s="5">
        <v>0</v>
      </c>
      <c r="B1101" s="6" t="s">
        <v>7105</v>
      </c>
      <c r="C1101" s="7">
        <v>1390</v>
      </c>
      <c r="D1101" s="8" t="s">
        <v>7106</v>
      </c>
      <c r="E1101" s="8" t="s">
        <v>7107</v>
      </c>
      <c r="F1101" s="8" t="s">
        <v>5456</v>
      </c>
      <c r="G1101" s="6" t="s">
        <v>90</v>
      </c>
      <c r="H1101" s="6" t="s">
        <v>54</v>
      </c>
      <c r="I1101" s="8" t="s">
        <v>40</v>
      </c>
      <c r="J1101" s="9">
        <v>1</v>
      </c>
      <c r="K1101" s="9">
        <v>256</v>
      </c>
      <c r="L1101" s="9">
        <v>2026</v>
      </c>
      <c r="M1101" s="8" t="s">
        <v>7108</v>
      </c>
      <c r="N1101" s="8" t="s">
        <v>42</v>
      </c>
      <c r="O1101" s="8" t="s">
        <v>243</v>
      </c>
      <c r="P1101" s="6" t="s">
        <v>44</v>
      </c>
      <c r="Q1101" s="8" t="s">
        <v>45</v>
      </c>
      <c r="R1101" s="10" t="s">
        <v>7109</v>
      </c>
      <c r="S1101" s="11" t="s">
        <v>7104</v>
      </c>
      <c r="T1101" s="6"/>
      <c r="U1101" s="24" t="str">
        <f>HYPERLINK("https://media.infra-m.ru/2216/2216892/cover/2216892.jpg", "Обложка")</f>
        <v>Обложка</v>
      </c>
      <c r="V1101" s="24" t="str">
        <f>HYPERLINK("https://znanium.ru/catalog/product/2216892", "Ознакомиться")</f>
        <v>Ознакомиться</v>
      </c>
      <c r="W1101" s="8" t="s">
        <v>303</v>
      </c>
      <c r="X1101" s="6"/>
      <c r="Y1101" s="6"/>
      <c r="Z1101" s="6"/>
      <c r="AA1101" s="6" t="s">
        <v>1526</v>
      </c>
      <c r="AB1101" s="8"/>
    </row>
    <row r="1102" spans="1:28" s="4" customFormat="1" ht="51.95" customHeight="1">
      <c r="A1102" s="5">
        <v>0</v>
      </c>
      <c r="B1102" s="6" t="s">
        <v>7110</v>
      </c>
      <c r="C1102" s="7">
        <v>1030</v>
      </c>
      <c r="D1102" s="8" t="s">
        <v>7111</v>
      </c>
      <c r="E1102" s="8" t="s">
        <v>7112</v>
      </c>
      <c r="F1102" s="8" t="s">
        <v>298</v>
      </c>
      <c r="G1102" s="6" t="s">
        <v>90</v>
      </c>
      <c r="H1102" s="6" t="s">
        <v>54</v>
      </c>
      <c r="I1102" s="8" t="s">
        <v>40</v>
      </c>
      <c r="J1102" s="9">
        <v>1</v>
      </c>
      <c r="K1102" s="9">
        <v>192</v>
      </c>
      <c r="L1102" s="9">
        <v>2026</v>
      </c>
      <c r="M1102" s="8" t="s">
        <v>7113</v>
      </c>
      <c r="N1102" s="8" t="s">
        <v>42</v>
      </c>
      <c r="O1102" s="8" t="s">
        <v>243</v>
      </c>
      <c r="P1102" s="6" t="s">
        <v>44</v>
      </c>
      <c r="Q1102" s="8" t="s">
        <v>45</v>
      </c>
      <c r="R1102" s="10" t="s">
        <v>1882</v>
      </c>
      <c r="S1102" s="11" t="s">
        <v>1876</v>
      </c>
      <c r="T1102" s="6"/>
      <c r="U1102" s="24" t="str">
        <f>HYPERLINK("https://media.infra-m.ru/2187/2187650/cover/2187650.jpg", "Обложка")</f>
        <v>Обложка</v>
      </c>
      <c r="V1102" s="24" t="str">
        <f>HYPERLINK("https://znanium.ru/catalog/product/2187650", "Ознакомиться")</f>
        <v>Ознакомиться</v>
      </c>
      <c r="W1102" s="8" t="s">
        <v>303</v>
      </c>
      <c r="X1102" s="6"/>
      <c r="Y1102" s="6" t="s">
        <v>30</v>
      </c>
      <c r="Z1102" s="6"/>
      <c r="AA1102" s="6" t="s">
        <v>237</v>
      </c>
      <c r="AB1102" s="8"/>
    </row>
    <row r="1103" spans="1:28" s="4" customFormat="1" ht="51.95" customHeight="1">
      <c r="A1103" s="5">
        <v>0</v>
      </c>
      <c r="B1103" s="6" t="s">
        <v>7114</v>
      </c>
      <c r="C1103" s="7">
        <v>3660</v>
      </c>
      <c r="D1103" s="8" t="s">
        <v>7115</v>
      </c>
      <c r="E1103" s="8" t="s">
        <v>7116</v>
      </c>
      <c r="F1103" s="8" t="s">
        <v>7117</v>
      </c>
      <c r="G1103" s="6" t="s">
        <v>67</v>
      </c>
      <c r="H1103" s="6" t="s">
        <v>54</v>
      </c>
      <c r="I1103" s="8" t="s">
        <v>40</v>
      </c>
      <c r="J1103" s="9">
        <v>1</v>
      </c>
      <c r="K1103" s="9">
        <v>349</v>
      </c>
      <c r="L1103" s="9">
        <v>2026</v>
      </c>
      <c r="M1103" s="8" t="s">
        <v>7118</v>
      </c>
      <c r="N1103" s="8" t="s">
        <v>42</v>
      </c>
      <c r="O1103" s="8" t="s">
        <v>243</v>
      </c>
      <c r="P1103" s="6" t="s">
        <v>44</v>
      </c>
      <c r="Q1103" s="8" t="s">
        <v>45</v>
      </c>
      <c r="R1103" s="10" t="s">
        <v>7119</v>
      </c>
      <c r="S1103" s="11" t="s">
        <v>1876</v>
      </c>
      <c r="T1103" s="6"/>
      <c r="U1103" s="24" t="str">
        <f>HYPERLINK("https://media.infra-m.ru/2212/2212382/cover/2212382.jpg", "Обложка")</f>
        <v>Обложка</v>
      </c>
      <c r="V1103" s="24" t="str">
        <f>HYPERLINK("https://znanium.ru/catalog/product/2212382", "Ознакомиться")</f>
        <v>Ознакомиться</v>
      </c>
      <c r="W1103" s="8" t="s">
        <v>2143</v>
      </c>
      <c r="X1103" s="6"/>
      <c r="Y1103" s="6" t="s">
        <v>30</v>
      </c>
      <c r="Z1103" s="6"/>
      <c r="AA1103" s="6" t="s">
        <v>313</v>
      </c>
      <c r="AB1103" s="8"/>
    </row>
    <row r="1104" spans="1:28" s="4" customFormat="1" ht="51.95" customHeight="1">
      <c r="A1104" s="5">
        <v>0</v>
      </c>
      <c r="B1104" s="6" t="s">
        <v>7120</v>
      </c>
      <c r="C1104" s="7">
        <v>2244</v>
      </c>
      <c r="D1104" s="8" t="s">
        <v>7121</v>
      </c>
      <c r="E1104" s="8" t="s">
        <v>7107</v>
      </c>
      <c r="F1104" s="8" t="s">
        <v>5456</v>
      </c>
      <c r="G1104" s="6" t="s">
        <v>90</v>
      </c>
      <c r="H1104" s="6" t="s">
        <v>299</v>
      </c>
      <c r="I1104" s="8" t="s">
        <v>40</v>
      </c>
      <c r="J1104" s="9">
        <v>1</v>
      </c>
      <c r="K1104" s="9">
        <v>432</v>
      </c>
      <c r="L1104" s="9">
        <v>2026</v>
      </c>
      <c r="M1104" s="8" t="s">
        <v>7122</v>
      </c>
      <c r="N1104" s="8" t="s">
        <v>42</v>
      </c>
      <c r="O1104" s="8" t="s">
        <v>243</v>
      </c>
      <c r="P1104" s="6" t="s">
        <v>44</v>
      </c>
      <c r="Q1104" s="8" t="s">
        <v>45</v>
      </c>
      <c r="R1104" s="10" t="s">
        <v>7123</v>
      </c>
      <c r="S1104" s="11" t="s">
        <v>7124</v>
      </c>
      <c r="T1104" s="6"/>
      <c r="U1104" s="24" t="str">
        <f>HYPERLINK("https://media.infra-m.ru/2216/2216895/cover/2216895.jpg", "Обложка")</f>
        <v>Обложка</v>
      </c>
      <c r="V1104" s="24" t="str">
        <f>HYPERLINK("https://znanium.ru/catalog/product/2206272", "Ознакомиться")</f>
        <v>Ознакомиться</v>
      </c>
      <c r="W1104" s="8" t="s">
        <v>303</v>
      </c>
      <c r="X1104" s="6"/>
      <c r="Y1104" s="6"/>
      <c r="Z1104" s="6"/>
      <c r="AA1104" s="6" t="s">
        <v>1526</v>
      </c>
      <c r="AB1104" s="8"/>
    </row>
    <row r="1105" spans="1:28" s="4" customFormat="1" ht="42" customHeight="1">
      <c r="A1105" s="5">
        <v>0</v>
      </c>
      <c r="B1105" s="6" t="s">
        <v>7125</v>
      </c>
      <c r="C1105" s="7">
        <v>1540</v>
      </c>
      <c r="D1105" s="8" t="s">
        <v>7126</v>
      </c>
      <c r="E1105" s="8" t="s">
        <v>7127</v>
      </c>
      <c r="F1105" s="8" t="s">
        <v>7128</v>
      </c>
      <c r="G1105" s="6" t="s">
        <v>38</v>
      </c>
      <c r="H1105" s="6" t="s">
        <v>54</v>
      </c>
      <c r="I1105" s="8" t="s">
        <v>40</v>
      </c>
      <c r="J1105" s="9">
        <v>1</v>
      </c>
      <c r="K1105" s="9">
        <v>308</v>
      </c>
      <c r="L1105" s="9">
        <v>2025</v>
      </c>
      <c r="M1105" s="8" t="s">
        <v>7129</v>
      </c>
      <c r="N1105" s="8" t="s">
        <v>1456</v>
      </c>
      <c r="O1105" s="8" t="s">
        <v>1457</v>
      </c>
      <c r="P1105" s="6" t="s">
        <v>44</v>
      </c>
      <c r="Q1105" s="8" t="s">
        <v>45</v>
      </c>
      <c r="R1105" s="10" t="s">
        <v>7130</v>
      </c>
      <c r="S1105" s="11"/>
      <c r="T1105" s="6"/>
      <c r="U1105" s="24" t="str">
        <f>HYPERLINK("https://media.infra-m.ru/2169/2169356/cover/2169356.jpg", "Обложка")</f>
        <v>Обложка</v>
      </c>
      <c r="V1105" s="24" t="str">
        <f>HYPERLINK("https://znanium.ru/catalog/product/2169356", "Ознакомиться")</f>
        <v>Ознакомиться</v>
      </c>
      <c r="W1105" s="8" t="s">
        <v>3037</v>
      </c>
      <c r="X1105" s="6" t="s">
        <v>367</v>
      </c>
      <c r="Y1105" s="6"/>
      <c r="Z1105" s="6" t="s">
        <v>48</v>
      </c>
      <c r="AA1105" s="6" t="s">
        <v>84</v>
      </c>
      <c r="AB1105" s="8"/>
    </row>
    <row r="1106" spans="1:28" s="4" customFormat="1" ht="44.1" customHeight="1">
      <c r="A1106" s="5">
        <v>0</v>
      </c>
      <c r="B1106" s="6" t="s">
        <v>7131</v>
      </c>
      <c r="C1106" s="7">
        <v>1190</v>
      </c>
      <c r="D1106" s="8" t="s">
        <v>7132</v>
      </c>
      <c r="E1106" s="8" t="s">
        <v>7133</v>
      </c>
      <c r="F1106" s="8" t="s">
        <v>7134</v>
      </c>
      <c r="G1106" s="6" t="s">
        <v>38</v>
      </c>
      <c r="H1106" s="6" t="s">
        <v>54</v>
      </c>
      <c r="I1106" s="8" t="s">
        <v>40</v>
      </c>
      <c r="J1106" s="9">
        <v>1</v>
      </c>
      <c r="K1106" s="9">
        <v>231</v>
      </c>
      <c r="L1106" s="9">
        <v>2025</v>
      </c>
      <c r="M1106" s="8" t="s">
        <v>7135</v>
      </c>
      <c r="N1106" s="8" t="s">
        <v>1306</v>
      </c>
      <c r="O1106" s="8" t="s">
        <v>1307</v>
      </c>
      <c r="P1106" s="6" t="s">
        <v>44</v>
      </c>
      <c r="Q1106" s="8" t="s">
        <v>45</v>
      </c>
      <c r="R1106" s="10" t="s">
        <v>7136</v>
      </c>
      <c r="S1106" s="11"/>
      <c r="T1106" s="6"/>
      <c r="U1106" s="24" t="str">
        <f>HYPERLINK("https://media.infra-m.ru/2169/2169086/cover/2169086.jpg", "Обложка")</f>
        <v>Обложка</v>
      </c>
      <c r="V1106" s="24" t="str">
        <f>HYPERLINK("https://znanium.ru/catalog/product/2169086", "Ознакомиться")</f>
        <v>Ознакомиться</v>
      </c>
      <c r="W1106" s="8" t="s">
        <v>1552</v>
      </c>
      <c r="X1106" s="6" t="s">
        <v>367</v>
      </c>
      <c r="Y1106" s="6"/>
      <c r="Z1106" s="6" t="s">
        <v>48</v>
      </c>
      <c r="AA1106" s="6" t="s">
        <v>84</v>
      </c>
      <c r="AB1106" s="8"/>
    </row>
    <row r="1107" spans="1:28" s="4" customFormat="1" ht="51.95" customHeight="1">
      <c r="A1107" s="5">
        <v>0</v>
      </c>
      <c r="B1107" s="6" t="s">
        <v>7137</v>
      </c>
      <c r="C1107" s="7">
        <v>1074</v>
      </c>
      <c r="D1107" s="8" t="s">
        <v>7138</v>
      </c>
      <c r="E1107" s="8" t="s">
        <v>7139</v>
      </c>
      <c r="F1107" s="8" t="s">
        <v>7140</v>
      </c>
      <c r="G1107" s="6" t="s">
        <v>90</v>
      </c>
      <c r="H1107" s="6" t="s">
        <v>299</v>
      </c>
      <c r="I1107" s="8" t="s">
        <v>40</v>
      </c>
      <c r="J1107" s="9">
        <v>1</v>
      </c>
      <c r="K1107" s="9">
        <v>206</v>
      </c>
      <c r="L1107" s="9">
        <v>2026</v>
      </c>
      <c r="M1107" s="8" t="s">
        <v>7141</v>
      </c>
      <c r="N1107" s="8" t="s">
        <v>42</v>
      </c>
      <c r="O1107" s="8" t="s">
        <v>43</v>
      </c>
      <c r="P1107" s="6" t="s">
        <v>44</v>
      </c>
      <c r="Q1107" s="8" t="s">
        <v>45</v>
      </c>
      <c r="R1107" s="10" t="s">
        <v>5892</v>
      </c>
      <c r="S1107" s="11" t="s">
        <v>963</v>
      </c>
      <c r="T1107" s="6"/>
      <c r="U1107" s="24" t="str">
        <f>HYPERLINK("https://media.infra-m.ru/2222/2222136/cover/2222136.jpg", "Обложка")</f>
        <v>Обложка</v>
      </c>
      <c r="V1107" s="24" t="str">
        <f>HYPERLINK("https://znanium.ru/catalog/product/2155758", "Ознакомиться")</f>
        <v>Ознакомиться</v>
      </c>
      <c r="W1107" s="8" t="s">
        <v>834</v>
      </c>
      <c r="X1107" s="6"/>
      <c r="Y1107" s="6"/>
      <c r="Z1107" s="6" t="s">
        <v>207</v>
      </c>
      <c r="AA1107" s="6" t="s">
        <v>111</v>
      </c>
      <c r="AB1107" s="8"/>
    </row>
    <row r="1108" spans="1:28" s="4" customFormat="1" ht="51.95" customHeight="1">
      <c r="A1108" s="5">
        <v>0</v>
      </c>
      <c r="B1108" s="6" t="s">
        <v>7142</v>
      </c>
      <c r="C1108" s="7">
        <v>1414</v>
      </c>
      <c r="D1108" s="8" t="s">
        <v>7143</v>
      </c>
      <c r="E1108" s="8" t="s">
        <v>7144</v>
      </c>
      <c r="F1108" s="8" t="s">
        <v>7145</v>
      </c>
      <c r="G1108" s="6" t="s">
        <v>90</v>
      </c>
      <c r="H1108" s="6" t="s">
        <v>54</v>
      </c>
      <c r="I1108" s="8" t="s">
        <v>40</v>
      </c>
      <c r="J1108" s="9">
        <v>1</v>
      </c>
      <c r="K1108" s="9">
        <v>281</v>
      </c>
      <c r="L1108" s="9">
        <v>2026</v>
      </c>
      <c r="M1108" s="8" t="s">
        <v>7146</v>
      </c>
      <c r="N1108" s="8" t="s">
        <v>1306</v>
      </c>
      <c r="O1108" s="8" t="s">
        <v>1307</v>
      </c>
      <c r="P1108" s="6" t="s">
        <v>58</v>
      </c>
      <c r="Q1108" s="8" t="s">
        <v>45</v>
      </c>
      <c r="R1108" s="10" t="s">
        <v>2079</v>
      </c>
      <c r="S1108" s="11" t="s">
        <v>7147</v>
      </c>
      <c r="T1108" s="6"/>
      <c r="U1108" s="24" t="str">
        <f>HYPERLINK("https://media.infra-m.ru/2188/2188263/cover/2188263.jpg", "Обложка")</f>
        <v>Обложка</v>
      </c>
      <c r="V1108" s="24" t="str">
        <f>HYPERLINK("https://znanium.ru/catalog/product/2134060", "Ознакомиться")</f>
        <v>Ознакомиться</v>
      </c>
      <c r="W1108" s="8" t="s">
        <v>956</v>
      </c>
      <c r="X1108" s="6"/>
      <c r="Y1108" s="6"/>
      <c r="Z1108" s="6" t="s">
        <v>48</v>
      </c>
      <c r="AA1108" s="6" t="s">
        <v>362</v>
      </c>
      <c r="AB1108" s="8"/>
    </row>
    <row r="1109" spans="1:28" s="4" customFormat="1" ht="51.95" customHeight="1">
      <c r="A1109" s="5">
        <v>0</v>
      </c>
      <c r="B1109" s="6" t="s">
        <v>7148</v>
      </c>
      <c r="C1109" s="7">
        <v>1194</v>
      </c>
      <c r="D1109" s="8" t="s">
        <v>7149</v>
      </c>
      <c r="E1109" s="8" t="s">
        <v>7150</v>
      </c>
      <c r="F1109" s="8" t="s">
        <v>2245</v>
      </c>
      <c r="G1109" s="6" t="s">
        <v>38</v>
      </c>
      <c r="H1109" s="6" t="s">
        <v>54</v>
      </c>
      <c r="I1109" s="8" t="s">
        <v>40</v>
      </c>
      <c r="J1109" s="9">
        <v>1</v>
      </c>
      <c r="K1109" s="9">
        <v>238</v>
      </c>
      <c r="L1109" s="9">
        <v>2025</v>
      </c>
      <c r="M1109" s="8" t="s">
        <v>7151</v>
      </c>
      <c r="N1109" s="8" t="s">
        <v>125</v>
      </c>
      <c r="O1109" s="8" t="s">
        <v>126</v>
      </c>
      <c r="P1109" s="6" t="s">
        <v>44</v>
      </c>
      <c r="Q1109" s="8" t="s">
        <v>45</v>
      </c>
      <c r="R1109" s="10" t="s">
        <v>7152</v>
      </c>
      <c r="S1109" s="11" t="s">
        <v>7153</v>
      </c>
      <c r="T1109" s="6"/>
      <c r="U1109" s="24" t="str">
        <f>HYPERLINK("https://media.infra-m.ru/2185/2185211/cover/2185211.jpg", "Обложка")</f>
        <v>Обложка</v>
      </c>
      <c r="V1109" s="24" t="str">
        <f>HYPERLINK("https://znanium.ru/catalog/product/2083342", "Ознакомиться")</f>
        <v>Ознакомиться</v>
      </c>
      <c r="W1109" s="8" t="s">
        <v>180</v>
      </c>
      <c r="X1109" s="6"/>
      <c r="Y1109" s="6"/>
      <c r="Z1109" s="6"/>
      <c r="AA1109" s="6" t="s">
        <v>740</v>
      </c>
      <c r="AB1109" s="8" t="s">
        <v>869</v>
      </c>
    </row>
    <row r="1110" spans="1:28" s="4" customFormat="1" ht="42" customHeight="1">
      <c r="A1110" s="5">
        <v>0</v>
      </c>
      <c r="B1110" s="6" t="s">
        <v>7154</v>
      </c>
      <c r="C1110" s="7">
        <v>1020</v>
      </c>
      <c r="D1110" s="8" t="s">
        <v>7155</v>
      </c>
      <c r="E1110" s="8" t="s">
        <v>7156</v>
      </c>
      <c r="F1110" s="8" t="s">
        <v>7157</v>
      </c>
      <c r="G1110" s="6" t="s">
        <v>90</v>
      </c>
      <c r="H1110" s="6" t="s">
        <v>824</v>
      </c>
      <c r="I1110" s="8"/>
      <c r="J1110" s="9">
        <v>1</v>
      </c>
      <c r="K1110" s="9">
        <v>218</v>
      </c>
      <c r="L1110" s="9">
        <v>2024</v>
      </c>
      <c r="M1110" s="8" t="s">
        <v>7158</v>
      </c>
      <c r="N1110" s="8" t="s">
        <v>42</v>
      </c>
      <c r="O1110" s="8" t="s">
        <v>43</v>
      </c>
      <c r="P1110" s="6" t="s">
        <v>58</v>
      </c>
      <c r="Q1110" s="8" t="s">
        <v>45</v>
      </c>
      <c r="R1110" s="10" t="s">
        <v>7159</v>
      </c>
      <c r="S1110" s="11"/>
      <c r="T1110" s="6"/>
      <c r="U1110" s="24" t="str">
        <f>HYPERLINK("https://media.infra-m.ru/2145/2145819/cover/2145819.jpg", "Обложка")</f>
        <v>Обложка</v>
      </c>
      <c r="V1110" s="24" t="str">
        <f>HYPERLINK("https://znanium.ru/catalog/product/2145819", "Ознакомиться")</f>
        <v>Ознакомиться</v>
      </c>
      <c r="W1110" s="8" t="s">
        <v>1399</v>
      </c>
      <c r="X1110" s="6"/>
      <c r="Y1110" s="6" t="s">
        <v>30</v>
      </c>
      <c r="Z1110" s="6"/>
      <c r="AA1110" s="6" t="s">
        <v>766</v>
      </c>
      <c r="AB1110" s="8"/>
    </row>
    <row r="1111" spans="1:28" s="4" customFormat="1" ht="51.95" customHeight="1">
      <c r="A1111" s="5">
        <v>0</v>
      </c>
      <c r="B1111" s="6" t="s">
        <v>7160</v>
      </c>
      <c r="C1111" s="7">
        <v>1410</v>
      </c>
      <c r="D1111" s="8" t="s">
        <v>7161</v>
      </c>
      <c r="E1111" s="8" t="s">
        <v>7162</v>
      </c>
      <c r="F1111" s="8" t="s">
        <v>7163</v>
      </c>
      <c r="G1111" s="6" t="s">
        <v>90</v>
      </c>
      <c r="H1111" s="6" t="s">
        <v>54</v>
      </c>
      <c r="I1111" s="8" t="s">
        <v>40</v>
      </c>
      <c r="J1111" s="9">
        <v>1</v>
      </c>
      <c r="K1111" s="9">
        <v>271</v>
      </c>
      <c r="L1111" s="9">
        <v>2025</v>
      </c>
      <c r="M1111" s="8" t="s">
        <v>7164</v>
      </c>
      <c r="N1111" s="8" t="s">
        <v>42</v>
      </c>
      <c r="O1111" s="8" t="s">
        <v>169</v>
      </c>
      <c r="P1111" s="6" t="s">
        <v>44</v>
      </c>
      <c r="Q1111" s="8" t="s">
        <v>45</v>
      </c>
      <c r="R1111" s="10" t="s">
        <v>7165</v>
      </c>
      <c r="S1111" s="11" t="s">
        <v>7166</v>
      </c>
      <c r="T1111" s="6"/>
      <c r="U1111" s="24" t="str">
        <f>HYPERLINK("https://media.infra-m.ru/2208/2208694/cover/2208694.jpg", "Обложка")</f>
        <v>Обложка</v>
      </c>
      <c r="V1111" s="24" t="str">
        <f>HYPERLINK("https://znanium.ru/catalog/product/2208694", "Ознакомиться")</f>
        <v>Ознакомиться</v>
      </c>
      <c r="W1111" s="8" t="s">
        <v>868</v>
      </c>
      <c r="X1111" s="6"/>
      <c r="Y1111" s="6"/>
      <c r="Z1111" s="6"/>
      <c r="AA1111" s="6" t="s">
        <v>500</v>
      </c>
      <c r="AB1111" s="8" t="s">
        <v>860</v>
      </c>
    </row>
    <row r="1112" spans="1:28" s="4" customFormat="1" ht="51.95" customHeight="1">
      <c r="A1112" s="5">
        <v>0</v>
      </c>
      <c r="B1112" s="6" t="s">
        <v>7167</v>
      </c>
      <c r="C1112" s="13">
        <v>924</v>
      </c>
      <c r="D1112" s="8" t="s">
        <v>7168</v>
      </c>
      <c r="E1112" s="8" t="s">
        <v>7169</v>
      </c>
      <c r="F1112" s="8" t="s">
        <v>7170</v>
      </c>
      <c r="G1112" s="6" t="s">
        <v>90</v>
      </c>
      <c r="H1112" s="6" t="s">
        <v>39</v>
      </c>
      <c r="I1112" s="8" t="s">
        <v>40</v>
      </c>
      <c r="J1112" s="9">
        <v>1</v>
      </c>
      <c r="K1112" s="9">
        <v>176</v>
      </c>
      <c r="L1112" s="9">
        <v>2025</v>
      </c>
      <c r="M1112" s="8" t="s">
        <v>7171</v>
      </c>
      <c r="N1112" s="8" t="s">
        <v>42</v>
      </c>
      <c r="O1112" s="8" t="s">
        <v>319</v>
      </c>
      <c r="P1112" s="6" t="s">
        <v>44</v>
      </c>
      <c r="Q1112" s="8" t="s">
        <v>45</v>
      </c>
      <c r="R1112" s="10" t="s">
        <v>7172</v>
      </c>
      <c r="S1112" s="11" t="s">
        <v>7173</v>
      </c>
      <c r="T1112" s="6"/>
      <c r="U1112" s="24" t="str">
        <f>HYPERLINK("https://media.infra-m.ru/2187/2187651/cover/2187651.jpg", "Обложка")</f>
        <v>Обложка</v>
      </c>
      <c r="V1112" s="24" t="str">
        <f>HYPERLINK("https://znanium.ru/catalog/product/1096018", "Ознакомиться")</f>
        <v>Ознакомиться</v>
      </c>
      <c r="W1112" s="8" t="s">
        <v>413</v>
      </c>
      <c r="X1112" s="6"/>
      <c r="Y1112" s="6"/>
      <c r="Z1112" s="6" t="s">
        <v>48</v>
      </c>
      <c r="AA1112" s="6" t="s">
        <v>740</v>
      </c>
      <c r="AB1112" s="8"/>
    </row>
    <row r="1113" spans="1:28" s="4" customFormat="1" ht="51.95" customHeight="1">
      <c r="A1113" s="5">
        <v>0</v>
      </c>
      <c r="B1113" s="6" t="s">
        <v>7174</v>
      </c>
      <c r="C1113" s="7">
        <v>1734</v>
      </c>
      <c r="D1113" s="8" t="s">
        <v>7175</v>
      </c>
      <c r="E1113" s="8" t="s">
        <v>7176</v>
      </c>
      <c r="F1113" s="8" t="s">
        <v>7177</v>
      </c>
      <c r="G1113" s="6" t="s">
        <v>38</v>
      </c>
      <c r="H1113" s="6" t="s">
        <v>54</v>
      </c>
      <c r="I1113" s="8" t="s">
        <v>40</v>
      </c>
      <c r="J1113" s="9">
        <v>1</v>
      </c>
      <c r="K1113" s="9">
        <v>346</v>
      </c>
      <c r="L1113" s="9">
        <v>2025</v>
      </c>
      <c r="M1113" s="8" t="s">
        <v>7178</v>
      </c>
      <c r="N1113" s="8" t="s">
        <v>42</v>
      </c>
      <c r="O1113" s="8" t="s">
        <v>169</v>
      </c>
      <c r="P1113" s="6" t="s">
        <v>44</v>
      </c>
      <c r="Q1113" s="8" t="s">
        <v>45</v>
      </c>
      <c r="R1113" s="10" t="s">
        <v>7179</v>
      </c>
      <c r="S1113" s="11" t="s">
        <v>7180</v>
      </c>
      <c r="T1113" s="6"/>
      <c r="U1113" s="24" t="str">
        <f>HYPERLINK("https://media.infra-m.ru/2156/2156923/cover/2156923.jpg", "Обложка")</f>
        <v>Обложка</v>
      </c>
      <c r="V1113" s="24" t="str">
        <f>HYPERLINK("https://znanium.ru/catalog/product/2103200", "Ознакомиться")</f>
        <v>Ознакомиться</v>
      </c>
      <c r="W1113" s="8" t="s">
        <v>293</v>
      </c>
      <c r="X1113" s="6"/>
      <c r="Y1113" s="6"/>
      <c r="Z1113" s="6" t="s">
        <v>48</v>
      </c>
      <c r="AA1113" s="6" t="s">
        <v>740</v>
      </c>
      <c r="AB1113" s="8"/>
    </row>
    <row r="1114" spans="1:28" s="4" customFormat="1" ht="51.95" customHeight="1">
      <c r="A1114" s="5">
        <v>0</v>
      </c>
      <c r="B1114" s="6" t="s">
        <v>7181</v>
      </c>
      <c r="C1114" s="13">
        <v>840</v>
      </c>
      <c r="D1114" s="8" t="s">
        <v>7182</v>
      </c>
      <c r="E1114" s="8" t="s">
        <v>7183</v>
      </c>
      <c r="F1114" s="8" t="s">
        <v>7184</v>
      </c>
      <c r="G1114" s="6" t="s">
        <v>90</v>
      </c>
      <c r="H1114" s="6" t="s">
        <v>54</v>
      </c>
      <c r="I1114" s="8" t="s">
        <v>1997</v>
      </c>
      <c r="J1114" s="9">
        <v>1</v>
      </c>
      <c r="K1114" s="9">
        <v>171</v>
      </c>
      <c r="L1114" s="9">
        <v>2024</v>
      </c>
      <c r="M1114" s="8" t="s">
        <v>7185</v>
      </c>
      <c r="N1114" s="8" t="s">
        <v>42</v>
      </c>
      <c r="O1114" s="8" t="s">
        <v>243</v>
      </c>
      <c r="P1114" s="6" t="s">
        <v>44</v>
      </c>
      <c r="Q1114" s="8" t="s">
        <v>45</v>
      </c>
      <c r="R1114" s="10" t="s">
        <v>7186</v>
      </c>
      <c r="S1114" s="11" t="s">
        <v>7187</v>
      </c>
      <c r="T1114" s="6"/>
      <c r="U1114" s="24" t="str">
        <f>HYPERLINK("https://media.infra-m.ru/2141/2141853/cover/2141853.jpg", "Обложка")</f>
        <v>Обложка</v>
      </c>
      <c r="V1114" s="12"/>
      <c r="W1114" s="8" t="s">
        <v>2000</v>
      </c>
      <c r="X1114" s="6"/>
      <c r="Y1114" s="6"/>
      <c r="Z1114" s="6" t="s">
        <v>48</v>
      </c>
      <c r="AA1114" s="6" t="s">
        <v>111</v>
      </c>
      <c r="AB1114" s="8"/>
    </row>
    <row r="1115" spans="1:28" s="4" customFormat="1" ht="51.95" customHeight="1">
      <c r="A1115" s="5">
        <v>0</v>
      </c>
      <c r="B1115" s="6" t="s">
        <v>7188</v>
      </c>
      <c r="C1115" s="13">
        <v>844</v>
      </c>
      <c r="D1115" s="8" t="s">
        <v>7189</v>
      </c>
      <c r="E1115" s="8" t="s">
        <v>7190</v>
      </c>
      <c r="F1115" s="8" t="s">
        <v>7184</v>
      </c>
      <c r="G1115" s="6" t="s">
        <v>90</v>
      </c>
      <c r="H1115" s="6" t="s">
        <v>54</v>
      </c>
      <c r="I1115" s="8" t="s">
        <v>1997</v>
      </c>
      <c r="J1115" s="9">
        <v>1</v>
      </c>
      <c r="K1115" s="9">
        <v>168</v>
      </c>
      <c r="L1115" s="9">
        <v>2025</v>
      </c>
      <c r="M1115" s="8" t="s">
        <v>7191</v>
      </c>
      <c r="N1115" s="8" t="s">
        <v>42</v>
      </c>
      <c r="O1115" s="8" t="s">
        <v>243</v>
      </c>
      <c r="P1115" s="6" t="s">
        <v>44</v>
      </c>
      <c r="Q1115" s="8" t="s">
        <v>45</v>
      </c>
      <c r="R1115" s="10" t="s">
        <v>7186</v>
      </c>
      <c r="S1115" s="11" t="s">
        <v>7187</v>
      </c>
      <c r="T1115" s="6"/>
      <c r="U1115" s="24" t="str">
        <f>HYPERLINK("https://media.infra-m.ru/2187/2187051/cover/2187051.jpg", "Обложка")</f>
        <v>Обложка</v>
      </c>
      <c r="V1115" s="12"/>
      <c r="W1115" s="8" t="s">
        <v>2000</v>
      </c>
      <c r="X1115" s="6"/>
      <c r="Y1115" s="6"/>
      <c r="Z1115" s="6" t="s">
        <v>48</v>
      </c>
      <c r="AA1115" s="6" t="s">
        <v>111</v>
      </c>
      <c r="AB1115" s="8"/>
    </row>
    <row r="1116" spans="1:28" s="4" customFormat="1" ht="51.95" customHeight="1">
      <c r="A1116" s="5">
        <v>0</v>
      </c>
      <c r="B1116" s="6" t="s">
        <v>7192</v>
      </c>
      <c r="C1116" s="7">
        <v>2564</v>
      </c>
      <c r="D1116" s="8" t="s">
        <v>7193</v>
      </c>
      <c r="E1116" s="8" t="s">
        <v>7194</v>
      </c>
      <c r="F1116" s="8" t="s">
        <v>6705</v>
      </c>
      <c r="G1116" s="6" t="s">
        <v>38</v>
      </c>
      <c r="H1116" s="6" t="s">
        <v>54</v>
      </c>
      <c r="I1116" s="8" t="s">
        <v>40</v>
      </c>
      <c r="J1116" s="9">
        <v>1</v>
      </c>
      <c r="K1116" s="9">
        <v>512</v>
      </c>
      <c r="L1116" s="9">
        <v>2025</v>
      </c>
      <c r="M1116" s="8" t="s">
        <v>7195</v>
      </c>
      <c r="N1116" s="8" t="s">
        <v>42</v>
      </c>
      <c r="O1116" s="8" t="s">
        <v>169</v>
      </c>
      <c r="P1116" s="6" t="s">
        <v>58</v>
      </c>
      <c r="Q1116" s="8" t="s">
        <v>45</v>
      </c>
      <c r="R1116" s="10" t="s">
        <v>7196</v>
      </c>
      <c r="S1116" s="11" t="s">
        <v>7197</v>
      </c>
      <c r="T1116" s="6"/>
      <c r="U1116" s="24" t="str">
        <f>HYPERLINK("https://media.infra-m.ru/2185/2185637/cover/2185637.jpg", "Обложка")</f>
        <v>Обложка</v>
      </c>
      <c r="V1116" s="24" t="str">
        <f>HYPERLINK("https://znanium.ru/catalog/product/1288990", "Ознакомиться")</f>
        <v>Ознакомиться</v>
      </c>
      <c r="W1116" s="8" t="s">
        <v>180</v>
      </c>
      <c r="X1116" s="6"/>
      <c r="Y1116" s="6"/>
      <c r="Z1116" s="6"/>
      <c r="AA1116" s="6" t="s">
        <v>2887</v>
      </c>
      <c r="AB1116" s="8"/>
    </row>
    <row r="1117" spans="1:28" s="4" customFormat="1" ht="51.95" customHeight="1">
      <c r="A1117" s="5">
        <v>0</v>
      </c>
      <c r="B1117" s="6" t="s">
        <v>7198</v>
      </c>
      <c r="C1117" s="7">
        <v>2344</v>
      </c>
      <c r="D1117" s="8" t="s">
        <v>7199</v>
      </c>
      <c r="E1117" s="8" t="s">
        <v>7200</v>
      </c>
      <c r="F1117" s="8" t="s">
        <v>7201</v>
      </c>
      <c r="G1117" s="6" t="s">
        <v>38</v>
      </c>
      <c r="H1117" s="6" t="s">
        <v>54</v>
      </c>
      <c r="I1117" s="8" t="s">
        <v>40</v>
      </c>
      <c r="J1117" s="9">
        <v>1</v>
      </c>
      <c r="K1117" s="9">
        <v>469</v>
      </c>
      <c r="L1117" s="9">
        <v>2024</v>
      </c>
      <c r="M1117" s="8" t="s">
        <v>7202</v>
      </c>
      <c r="N1117" s="8" t="s">
        <v>42</v>
      </c>
      <c r="O1117" s="8" t="s">
        <v>169</v>
      </c>
      <c r="P1117" s="6" t="s">
        <v>58</v>
      </c>
      <c r="Q1117" s="8" t="s">
        <v>45</v>
      </c>
      <c r="R1117" s="10" t="s">
        <v>7203</v>
      </c>
      <c r="S1117" s="11" t="s">
        <v>7204</v>
      </c>
      <c r="T1117" s="6"/>
      <c r="U1117" s="24" t="str">
        <f>HYPERLINK("https://media.infra-m.ru/2187/2187249/cover/2187249.jpg", "Обложка")</f>
        <v>Обложка</v>
      </c>
      <c r="V1117" s="24" t="str">
        <f>HYPERLINK("https://znanium.ru/catalog/product/2148799", "Ознакомиться")</f>
        <v>Ознакомиться</v>
      </c>
      <c r="W1117" s="8"/>
      <c r="X1117" s="6"/>
      <c r="Y1117" s="6"/>
      <c r="Z1117" s="6"/>
      <c r="AA1117" s="6" t="s">
        <v>2887</v>
      </c>
      <c r="AB1117" s="8"/>
    </row>
    <row r="1118" spans="1:28" s="4" customFormat="1" ht="51.95" customHeight="1">
      <c r="A1118" s="5">
        <v>0</v>
      </c>
      <c r="B1118" s="6" t="s">
        <v>7205</v>
      </c>
      <c r="C1118" s="13">
        <v>614</v>
      </c>
      <c r="D1118" s="8" t="s">
        <v>7206</v>
      </c>
      <c r="E1118" s="8" t="s">
        <v>7207</v>
      </c>
      <c r="F1118" s="8" t="s">
        <v>5439</v>
      </c>
      <c r="G1118" s="6" t="s">
        <v>67</v>
      </c>
      <c r="H1118" s="6" t="s">
        <v>299</v>
      </c>
      <c r="I1118" s="8" t="s">
        <v>40</v>
      </c>
      <c r="J1118" s="9">
        <v>1</v>
      </c>
      <c r="K1118" s="9">
        <v>104</v>
      </c>
      <c r="L1118" s="9">
        <v>2026</v>
      </c>
      <c r="M1118" s="8" t="s">
        <v>7208</v>
      </c>
      <c r="N1118" s="8" t="s">
        <v>42</v>
      </c>
      <c r="O1118" s="8" t="s">
        <v>169</v>
      </c>
      <c r="P1118" s="6" t="s">
        <v>71</v>
      </c>
      <c r="Q1118" s="8" t="s">
        <v>45</v>
      </c>
      <c r="R1118" s="10" t="s">
        <v>7209</v>
      </c>
      <c r="S1118" s="11" t="s">
        <v>7210</v>
      </c>
      <c r="T1118" s="6"/>
      <c r="U1118" s="24" t="str">
        <f>HYPERLINK("https://media.infra-m.ru/2226/2226638/cover/2226638.jpg", "Обложка")</f>
        <v>Обложка</v>
      </c>
      <c r="V1118" s="24" t="str">
        <f>HYPERLINK("https://znanium.ru/catalog/product/2201251", "Ознакомиться")</f>
        <v>Ознакомиться</v>
      </c>
      <c r="W1118" s="8" t="s">
        <v>180</v>
      </c>
      <c r="X1118" s="6"/>
      <c r="Y1118" s="6"/>
      <c r="Z1118" s="6"/>
      <c r="AA1118" s="6" t="s">
        <v>147</v>
      </c>
      <c r="AB1118" s="8"/>
    </row>
    <row r="1119" spans="1:28" s="4" customFormat="1" ht="51.95" customHeight="1">
      <c r="A1119" s="5">
        <v>0</v>
      </c>
      <c r="B1119" s="6" t="s">
        <v>7211</v>
      </c>
      <c r="C1119" s="7">
        <v>2480</v>
      </c>
      <c r="D1119" s="8" t="s">
        <v>7212</v>
      </c>
      <c r="E1119" s="8" t="s">
        <v>7213</v>
      </c>
      <c r="F1119" s="8" t="s">
        <v>5439</v>
      </c>
      <c r="G1119" s="6" t="s">
        <v>38</v>
      </c>
      <c r="H1119" s="6" t="s">
        <v>54</v>
      </c>
      <c r="I1119" s="8" t="s">
        <v>40</v>
      </c>
      <c r="J1119" s="9">
        <v>1</v>
      </c>
      <c r="K1119" s="9">
        <v>475</v>
      </c>
      <c r="L1119" s="9">
        <v>2025</v>
      </c>
      <c r="M1119" s="8" t="s">
        <v>7214</v>
      </c>
      <c r="N1119" s="8" t="s">
        <v>42</v>
      </c>
      <c r="O1119" s="8" t="s">
        <v>169</v>
      </c>
      <c r="P1119" s="6" t="s">
        <v>58</v>
      </c>
      <c r="Q1119" s="8" t="s">
        <v>45</v>
      </c>
      <c r="R1119" s="10" t="s">
        <v>7203</v>
      </c>
      <c r="S1119" s="11"/>
      <c r="T1119" s="6"/>
      <c r="U1119" s="24" t="str">
        <f>HYPERLINK("https://media.infra-m.ru/2148/2148799/cover/2148799.jpg", "Обложка")</f>
        <v>Обложка</v>
      </c>
      <c r="V1119" s="24" t="str">
        <f>HYPERLINK("https://znanium.ru/catalog/product/2148799", "Ознакомиться")</f>
        <v>Ознакомиться</v>
      </c>
      <c r="W1119" s="8" t="s">
        <v>180</v>
      </c>
      <c r="X1119" s="6" t="s">
        <v>518</v>
      </c>
      <c r="Y1119" s="6"/>
      <c r="Z1119" s="6"/>
      <c r="AA1119" s="6" t="s">
        <v>451</v>
      </c>
      <c r="AB1119" s="8"/>
    </row>
    <row r="1120" spans="1:28" s="4" customFormat="1" ht="51.95" customHeight="1">
      <c r="A1120" s="5">
        <v>0</v>
      </c>
      <c r="B1120" s="6" t="s">
        <v>7215</v>
      </c>
      <c r="C1120" s="7">
        <v>1654.9</v>
      </c>
      <c r="D1120" s="8" t="s">
        <v>7216</v>
      </c>
      <c r="E1120" s="8" t="s">
        <v>7217</v>
      </c>
      <c r="F1120" s="8" t="s">
        <v>6705</v>
      </c>
      <c r="G1120" s="6" t="s">
        <v>38</v>
      </c>
      <c r="H1120" s="6" t="s">
        <v>39</v>
      </c>
      <c r="I1120" s="8" t="s">
        <v>69</v>
      </c>
      <c r="J1120" s="9">
        <v>1</v>
      </c>
      <c r="K1120" s="9">
        <v>448</v>
      </c>
      <c r="L1120" s="9">
        <v>2021</v>
      </c>
      <c r="M1120" s="8" t="s">
        <v>7218</v>
      </c>
      <c r="N1120" s="8" t="s">
        <v>42</v>
      </c>
      <c r="O1120" s="8" t="s">
        <v>169</v>
      </c>
      <c r="P1120" s="6" t="s">
        <v>58</v>
      </c>
      <c r="Q1120" s="8" t="s">
        <v>45</v>
      </c>
      <c r="R1120" s="10" t="s">
        <v>7196</v>
      </c>
      <c r="S1120" s="11" t="s">
        <v>7197</v>
      </c>
      <c r="T1120" s="6"/>
      <c r="U1120" s="24" t="str">
        <f>HYPERLINK("https://media.infra-m.ru/1288/1288990/cover/1288990.jpg", "Обложка")</f>
        <v>Обложка</v>
      </c>
      <c r="V1120" s="24" t="str">
        <f>HYPERLINK("https://znanium.ru/catalog/product/1288990", "Ознакомиться")</f>
        <v>Ознакомиться</v>
      </c>
      <c r="W1120" s="8" t="s">
        <v>180</v>
      </c>
      <c r="X1120" s="6"/>
      <c r="Y1120" s="6"/>
      <c r="Z1120" s="6"/>
      <c r="AA1120" s="6" t="s">
        <v>5050</v>
      </c>
      <c r="AB1120" s="8"/>
    </row>
    <row r="1121" spans="1:28" s="4" customFormat="1" ht="51.95" customHeight="1">
      <c r="A1121" s="5">
        <v>0</v>
      </c>
      <c r="B1121" s="6" t="s">
        <v>7219</v>
      </c>
      <c r="C1121" s="7">
        <v>1640</v>
      </c>
      <c r="D1121" s="8" t="s">
        <v>7220</v>
      </c>
      <c r="E1121" s="8" t="s">
        <v>7221</v>
      </c>
      <c r="F1121" s="8" t="s">
        <v>7201</v>
      </c>
      <c r="G1121" s="6" t="s">
        <v>90</v>
      </c>
      <c r="H1121" s="6" t="s">
        <v>299</v>
      </c>
      <c r="I1121" s="8" t="s">
        <v>40</v>
      </c>
      <c r="J1121" s="9">
        <v>1</v>
      </c>
      <c r="K1121" s="9">
        <v>480</v>
      </c>
      <c r="L1121" s="9">
        <v>2019</v>
      </c>
      <c r="M1121" s="8" t="s">
        <v>7222</v>
      </c>
      <c r="N1121" s="8" t="s">
        <v>42</v>
      </c>
      <c r="O1121" s="8" t="s">
        <v>169</v>
      </c>
      <c r="P1121" s="6" t="s">
        <v>58</v>
      </c>
      <c r="Q1121" s="8" t="s">
        <v>45</v>
      </c>
      <c r="R1121" s="10" t="s">
        <v>7203</v>
      </c>
      <c r="S1121" s="11" t="s">
        <v>7204</v>
      </c>
      <c r="T1121" s="6"/>
      <c r="U1121" s="24" t="str">
        <f>HYPERLINK("https://media.infra-m.ru/1003/1003603/cover/1003603.jpg", "Обложка")</f>
        <v>Обложка</v>
      </c>
      <c r="V1121" s="24" t="str">
        <f>HYPERLINK("https://znanium.ru/catalog/product/2148799", "Ознакомиться")</f>
        <v>Ознакомиться</v>
      </c>
      <c r="W1121" s="8"/>
      <c r="X1121" s="6"/>
      <c r="Y1121" s="6"/>
      <c r="Z1121" s="6"/>
      <c r="AA1121" s="6" t="s">
        <v>5050</v>
      </c>
      <c r="AB1121" s="8"/>
    </row>
    <row r="1122" spans="1:28" s="4" customFormat="1" ht="51.95" customHeight="1">
      <c r="A1122" s="5">
        <v>0</v>
      </c>
      <c r="B1122" s="6" t="s">
        <v>7223</v>
      </c>
      <c r="C1122" s="7">
        <v>1120</v>
      </c>
      <c r="D1122" s="8" t="s">
        <v>7224</v>
      </c>
      <c r="E1122" s="8" t="s">
        <v>7225</v>
      </c>
      <c r="F1122" s="8" t="s">
        <v>7226</v>
      </c>
      <c r="G1122" s="6" t="s">
        <v>90</v>
      </c>
      <c r="H1122" s="6" t="s">
        <v>54</v>
      </c>
      <c r="I1122" s="8" t="s">
        <v>40</v>
      </c>
      <c r="J1122" s="9">
        <v>1</v>
      </c>
      <c r="K1122" s="9">
        <v>238</v>
      </c>
      <c r="L1122" s="9">
        <v>2024</v>
      </c>
      <c r="M1122" s="8" t="s">
        <v>7227</v>
      </c>
      <c r="N1122" s="8" t="s">
        <v>42</v>
      </c>
      <c r="O1122" s="8" t="s">
        <v>169</v>
      </c>
      <c r="P1122" s="6" t="s">
        <v>44</v>
      </c>
      <c r="Q1122" s="8" t="s">
        <v>45</v>
      </c>
      <c r="R1122" s="10" t="s">
        <v>7228</v>
      </c>
      <c r="S1122" s="11" t="s">
        <v>1106</v>
      </c>
      <c r="T1122" s="6"/>
      <c r="U1122" s="24" t="str">
        <f>HYPERLINK("https://media.infra-m.ru/2131/2131730/cover/2131730.jpg", "Обложка")</f>
        <v>Обложка</v>
      </c>
      <c r="V1122" s="24" t="str">
        <f>HYPERLINK("https://znanium.ru/catalog/product/2131730", "Ознакомиться")</f>
        <v>Ознакомиться</v>
      </c>
      <c r="W1122" s="8" t="s">
        <v>172</v>
      </c>
      <c r="X1122" s="6"/>
      <c r="Y1122" s="6"/>
      <c r="Z1122" s="6"/>
      <c r="AA1122" s="6" t="s">
        <v>988</v>
      </c>
      <c r="AB1122" s="8"/>
    </row>
    <row r="1123" spans="1:28" s="4" customFormat="1" ht="51.95" customHeight="1">
      <c r="A1123" s="5">
        <v>0</v>
      </c>
      <c r="B1123" s="6" t="s">
        <v>7229</v>
      </c>
      <c r="C1123" s="7">
        <v>1600</v>
      </c>
      <c r="D1123" s="8" t="s">
        <v>7230</v>
      </c>
      <c r="E1123" s="8" t="s">
        <v>7231</v>
      </c>
      <c r="F1123" s="8" t="s">
        <v>1192</v>
      </c>
      <c r="G1123" s="6" t="s">
        <v>90</v>
      </c>
      <c r="H1123" s="6" t="s">
        <v>54</v>
      </c>
      <c r="I1123" s="8" t="s">
        <v>40</v>
      </c>
      <c r="J1123" s="9">
        <v>1</v>
      </c>
      <c r="K1123" s="9">
        <v>307</v>
      </c>
      <c r="L1123" s="9">
        <v>2026</v>
      </c>
      <c r="M1123" s="8" t="s">
        <v>7232</v>
      </c>
      <c r="N1123" s="8" t="s">
        <v>125</v>
      </c>
      <c r="O1123" s="8" t="s">
        <v>126</v>
      </c>
      <c r="P1123" s="6" t="s">
        <v>44</v>
      </c>
      <c r="Q1123" s="8" t="s">
        <v>45</v>
      </c>
      <c r="R1123" s="10" t="s">
        <v>7233</v>
      </c>
      <c r="S1123" s="11" t="s">
        <v>7234</v>
      </c>
      <c r="T1123" s="6"/>
      <c r="U1123" s="24" t="str">
        <f>HYPERLINK("https://media.infra-m.ru/2220/2220967/cover/2220967.jpg", "Обложка")</f>
        <v>Обложка</v>
      </c>
      <c r="V1123" s="24" t="str">
        <f>HYPERLINK("https://znanium.ru/catalog/product/2220967", "Ознакомиться")</f>
        <v>Ознакомиться</v>
      </c>
      <c r="W1123" s="8" t="s">
        <v>1195</v>
      </c>
      <c r="X1123" s="6"/>
      <c r="Y1123" s="6"/>
      <c r="Z1123" s="6"/>
      <c r="AA1123" s="6" t="s">
        <v>563</v>
      </c>
      <c r="AB1123" s="8"/>
    </row>
    <row r="1124" spans="1:28" s="4" customFormat="1" ht="51.95" customHeight="1">
      <c r="A1124" s="5">
        <v>0</v>
      </c>
      <c r="B1124" s="6" t="s">
        <v>7235</v>
      </c>
      <c r="C1124" s="7">
        <v>1494</v>
      </c>
      <c r="D1124" s="8" t="s">
        <v>7236</v>
      </c>
      <c r="E1124" s="8" t="s">
        <v>7237</v>
      </c>
      <c r="F1124" s="8" t="s">
        <v>7049</v>
      </c>
      <c r="G1124" s="6" t="s">
        <v>38</v>
      </c>
      <c r="H1124" s="6" t="s">
        <v>54</v>
      </c>
      <c r="I1124" s="8" t="s">
        <v>40</v>
      </c>
      <c r="J1124" s="9">
        <v>1</v>
      </c>
      <c r="K1124" s="9">
        <v>329</v>
      </c>
      <c r="L1124" s="9">
        <v>2023</v>
      </c>
      <c r="M1124" s="8" t="s">
        <v>7238</v>
      </c>
      <c r="N1124" s="8" t="s">
        <v>42</v>
      </c>
      <c r="O1124" s="8" t="s">
        <v>187</v>
      </c>
      <c r="P1124" s="6" t="s">
        <v>44</v>
      </c>
      <c r="Q1124" s="8" t="s">
        <v>45</v>
      </c>
      <c r="R1124" s="10" t="s">
        <v>7239</v>
      </c>
      <c r="S1124" s="11" t="s">
        <v>7240</v>
      </c>
      <c r="T1124" s="6"/>
      <c r="U1124" s="24" t="str">
        <f>HYPERLINK("https://media.infra-m.ru/2045/2045840/cover/2045840.jpg", "Обложка")</f>
        <v>Обложка</v>
      </c>
      <c r="V1124" s="24" t="str">
        <f>HYPERLINK("https://znanium.ru/catalog/product/1031285", "Ознакомиться")</f>
        <v>Ознакомиться</v>
      </c>
      <c r="W1124" s="8" t="s">
        <v>1373</v>
      </c>
      <c r="X1124" s="6"/>
      <c r="Y1124" s="6"/>
      <c r="Z1124" s="6" t="s">
        <v>48</v>
      </c>
      <c r="AA1124" s="6" t="s">
        <v>111</v>
      </c>
      <c r="AB1124" s="8" t="s">
        <v>2056</v>
      </c>
    </row>
    <row r="1125" spans="1:28" s="4" customFormat="1" ht="51.95" customHeight="1">
      <c r="A1125" s="5">
        <v>0</v>
      </c>
      <c r="B1125" s="6" t="s">
        <v>7241</v>
      </c>
      <c r="C1125" s="7">
        <v>1484</v>
      </c>
      <c r="D1125" s="8" t="s">
        <v>7242</v>
      </c>
      <c r="E1125" s="8" t="s">
        <v>7243</v>
      </c>
      <c r="F1125" s="8" t="s">
        <v>7244</v>
      </c>
      <c r="G1125" s="6" t="s">
        <v>90</v>
      </c>
      <c r="H1125" s="6" t="s">
        <v>54</v>
      </c>
      <c r="I1125" s="8" t="s">
        <v>40</v>
      </c>
      <c r="J1125" s="9">
        <v>1</v>
      </c>
      <c r="K1125" s="9">
        <v>316</v>
      </c>
      <c r="L1125" s="9">
        <v>2024</v>
      </c>
      <c r="M1125" s="8" t="s">
        <v>7245</v>
      </c>
      <c r="N1125" s="8" t="s">
        <v>42</v>
      </c>
      <c r="O1125" s="8" t="s">
        <v>169</v>
      </c>
      <c r="P1125" s="6" t="s">
        <v>44</v>
      </c>
      <c r="Q1125" s="8" t="s">
        <v>45</v>
      </c>
      <c r="R1125" s="10" t="s">
        <v>7246</v>
      </c>
      <c r="S1125" s="11" t="s">
        <v>7247</v>
      </c>
      <c r="T1125" s="6"/>
      <c r="U1125" s="24" t="str">
        <f>HYPERLINK("https://media.infra-m.ru/2137/2137644/cover/2137644.jpg", "Обложка")</f>
        <v>Обложка</v>
      </c>
      <c r="V1125" s="24" t="str">
        <f>HYPERLINK("https://znanium.ru/catalog/product/1864128", "Ознакомиться")</f>
        <v>Ознакомиться</v>
      </c>
      <c r="W1125" s="8" t="s">
        <v>1992</v>
      </c>
      <c r="X1125" s="6"/>
      <c r="Y1125" s="6"/>
      <c r="Z1125" s="6" t="s">
        <v>48</v>
      </c>
      <c r="AA1125" s="6" t="s">
        <v>485</v>
      </c>
      <c r="AB1125" s="8"/>
    </row>
    <row r="1126" spans="1:28" s="4" customFormat="1" ht="51.95" customHeight="1">
      <c r="A1126" s="5">
        <v>0</v>
      </c>
      <c r="B1126" s="6" t="s">
        <v>7248</v>
      </c>
      <c r="C1126" s="7">
        <v>1670</v>
      </c>
      <c r="D1126" s="8" t="s">
        <v>7249</v>
      </c>
      <c r="E1126" s="8" t="s">
        <v>7250</v>
      </c>
      <c r="F1126" s="8" t="s">
        <v>1780</v>
      </c>
      <c r="G1126" s="6" t="s">
        <v>38</v>
      </c>
      <c r="H1126" s="6" t="s">
        <v>54</v>
      </c>
      <c r="I1126" s="8" t="s">
        <v>40</v>
      </c>
      <c r="J1126" s="9">
        <v>1</v>
      </c>
      <c r="K1126" s="9">
        <v>327</v>
      </c>
      <c r="L1126" s="9">
        <v>2025</v>
      </c>
      <c r="M1126" s="8" t="s">
        <v>7251</v>
      </c>
      <c r="N1126" s="8" t="s">
        <v>42</v>
      </c>
      <c r="O1126" s="8" t="s">
        <v>169</v>
      </c>
      <c r="P1126" s="6" t="s">
        <v>44</v>
      </c>
      <c r="Q1126" s="8" t="s">
        <v>45</v>
      </c>
      <c r="R1126" s="10" t="s">
        <v>7252</v>
      </c>
      <c r="S1126" s="11"/>
      <c r="T1126" s="6"/>
      <c r="U1126" s="24" t="str">
        <f>HYPERLINK("https://media.infra-m.ru/2163/2163857/cover/2163857.jpg", "Обложка")</f>
        <v>Обложка</v>
      </c>
      <c r="V1126" s="24" t="str">
        <f>HYPERLINK("https://znanium.ru/catalog/product/2163857", "Ознакомиться")</f>
        <v>Ознакомиться</v>
      </c>
      <c r="W1126" s="8" t="s">
        <v>1067</v>
      </c>
      <c r="X1126" s="6" t="s">
        <v>367</v>
      </c>
      <c r="Y1126" s="6"/>
      <c r="Z1126" s="6" t="s">
        <v>48</v>
      </c>
      <c r="AA1126" s="6" t="s">
        <v>84</v>
      </c>
      <c r="AB1126" s="8" t="s">
        <v>7253</v>
      </c>
    </row>
    <row r="1127" spans="1:28" s="4" customFormat="1" ht="51.95" customHeight="1">
      <c r="A1127" s="5">
        <v>0</v>
      </c>
      <c r="B1127" s="6" t="s">
        <v>7254</v>
      </c>
      <c r="C1127" s="13">
        <v>844.9</v>
      </c>
      <c r="D1127" s="8" t="s">
        <v>7255</v>
      </c>
      <c r="E1127" s="8" t="s">
        <v>7256</v>
      </c>
      <c r="F1127" s="8" t="s">
        <v>7257</v>
      </c>
      <c r="G1127" s="6" t="s">
        <v>38</v>
      </c>
      <c r="H1127" s="6" t="s">
        <v>54</v>
      </c>
      <c r="I1127" s="8" t="s">
        <v>40</v>
      </c>
      <c r="J1127" s="9">
        <v>1</v>
      </c>
      <c r="K1127" s="9">
        <v>176</v>
      </c>
      <c r="L1127" s="9">
        <v>2024</v>
      </c>
      <c r="M1127" s="8" t="s">
        <v>7258</v>
      </c>
      <c r="N1127" s="8" t="s">
        <v>125</v>
      </c>
      <c r="O1127" s="8" t="s">
        <v>432</v>
      </c>
      <c r="P1127" s="6" t="s">
        <v>58</v>
      </c>
      <c r="Q1127" s="8" t="s">
        <v>45</v>
      </c>
      <c r="R1127" s="10" t="s">
        <v>1005</v>
      </c>
      <c r="S1127" s="11" t="s">
        <v>7259</v>
      </c>
      <c r="T1127" s="6"/>
      <c r="U1127" s="24" t="str">
        <f>HYPERLINK("https://media.infra-m.ru/2145/2145518/cover/2145518.jpg", "Обложка")</f>
        <v>Обложка</v>
      </c>
      <c r="V1127" s="24" t="str">
        <f>HYPERLINK("https://znanium.ru/catalog/product/1903875", "Ознакомиться")</f>
        <v>Ознакомиться</v>
      </c>
      <c r="W1127" s="8" t="s">
        <v>7260</v>
      </c>
      <c r="X1127" s="6"/>
      <c r="Y1127" s="6"/>
      <c r="Z1127" s="6" t="s">
        <v>48</v>
      </c>
      <c r="AA1127" s="6" t="s">
        <v>223</v>
      </c>
      <c r="AB1127" s="8"/>
    </row>
    <row r="1128" spans="1:28" s="4" customFormat="1" ht="51.95" customHeight="1">
      <c r="A1128" s="5">
        <v>0</v>
      </c>
      <c r="B1128" s="6" t="s">
        <v>7261</v>
      </c>
      <c r="C1128" s="7">
        <v>1000</v>
      </c>
      <c r="D1128" s="8" t="s">
        <v>7262</v>
      </c>
      <c r="E1128" s="8" t="s">
        <v>7263</v>
      </c>
      <c r="F1128" s="8" t="s">
        <v>7049</v>
      </c>
      <c r="G1128" s="6" t="s">
        <v>90</v>
      </c>
      <c r="H1128" s="6" t="s">
        <v>54</v>
      </c>
      <c r="I1128" s="8" t="s">
        <v>40</v>
      </c>
      <c r="J1128" s="9">
        <v>1</v>
      </c>
      <c r="K1128" s="9">
        <v>200</v>
      </c>
      <c r="L1128" s="9">
        <v>2025</v>
      </c>
      <c r="M1128" s="8" t="s">
        <v>7264</v>
      </c>
      <c r="N1128" s="8" t="s">
        <v>42</v>
      </c>
      <c r="O1128" s="8" t="s">
        <v>187</v>
      </c>
      <c r="P1128" s="6" t="s">
        <v>44</v>
      </c>
      <c r="Q1128" s="8" t="s">
        <v>45</v>
      </c>
      <c r="R1128" s="10" t="s">
        <v>4083</v>
      </c>
      <c r="S1128" s="11" t="s">
        <v>7265</v>
      </c>
      <c r="T1128" s="6"/>
      <c r="U1128" s="24" t="str">
        <f>HYPERLINK("https://media.infra-m.ru/2163/2163997/cover/2163997.jpg", "Обложка")</f>
        <v>Обложка</v>
      </c>
      <c r="V1128" s="24" t="str">
        <f>HYPERLINK("https://znanium.ru/catalog/product/2163997", "Ознакомиться")</f>
        <v>Ознакомиться</v>
      </c>
      <c r="W1128" s="8" t="s">
        <v>1373</v>
      </c>
      <c r="X1128" s="6"/>
      <c r="Y1128" s="6"/>
      <c r="Z1128" s="6" t="s">
        <v>48</v>
      </c>
      <c r="AA1128" s="6" t="s">
        <v>740</v>
      </c>
      <c r="AB1128" s="8"/>
    </row>
    <row r="1129" spans="1:28" s="4" customFormat="1" ht="51.95" customHeight="1">
      <c r="A1129" s="5">
        <v>0</v>
      </c>
      <c r="B1129" s="6" t="s">
        <v>7266</v>
      </c>
      <c r="C1129" s="7">
        <v>2520</v>
      </c>
      <c r="D1129" s="8" t="s">
        <v>7267</v>
      </c>
      <c r="E1129" s="8" t="s">
        <v>7268</v>
      </c>
      <c r="F1129" s="8" t="s">
        <v>4301</v>
      </c>
      <c r="G1129" s="6" t="s">
        <v>38</v>
      </c>
      <c r="H1129" s="6" t="s">
        <v>54</v>
      </c>
      <c r="I1129" s="8" t="s">
        <v>40</v>
      </c>
      <c r="J1129" s="9">
        <v>1</v>
      </c>
      <c r="K1129" s="9">
        <v>536</v>
      </c>
      <c r="L1129" s="9">
        <v>2024</v>
      </c>
      <c r="M1129" s="8" t="s">
        <v>7269</v>
      </c>
      <c r="N1129" s="8" t="s">
        <v>125</v>
      </c>
      <c r="O1129" s="8" t="s">
        <v>126</v>
      </c>
      <c r="P1129" s="6" t="s">
        <v>58</v>
      </c>
      <c r="Q1129" s="8" t="s">
        <v>45</v>
      </c>
      <c r="R1129" s="10" t="s">
        <v>7270</v>
      </c>
      <c r="S1129" s="11" t="s">
        <v>7271</v>
      </c>
      <c r="T1129" s="6"/>
      <c r="U1129" s="24" t="str">
        <f>HYPERLINK("https://media.infra-m.ru/2149/2149693/cover/2149693.jpg", "Обложка")</f>
        <v>Обложка</v>
      </c>
      <c r="V1129" s="24" t="str">
        <f>HYPERLINK("https://znanium.ru/catalog/product/2149693", "Ознакомиться")</f>
        <v>Ознакомиться</v>
      </c>
      <c r="W1129" s="8" t="s">
        <v>4304</v>
      </c>
      <c r="X1129" s="6"/>
      <c r="Y1129" s="6"/>
      <c r="Z1129" s="6" t="s">
        <v>48</v>
      </c>
      <c r="AA1129" s="6" t="s">
        <v>223</v>
      </c>
      <c r="AB1129" s="8"/>
    </row>
    <row r="1130" spans="1:28" s="4" customFormat="1" ht="51.95" customHeight="1">
      <c r="A1130" s="5">
        <v>0</v>
      </c>
      <c r="B1130" s="6" t="s">
        <v>7272</v>
      </c>
      <c r="C1130" s="7">
        <v>1464</v>
      </c>
      <c r="D1130" s="8" t="s">
        <v>7273</v>
      </c>
      <c r="E1130" s="8" t="s">
        <v>7274</v>
      </c>
      <c r="F1130" s="8" t="s">
        <v>7049</v>
      </c>
      <c r="G1130" s="6" t="s">
        <v>90</v>
      </c>
      <c r="H1130" s="6" t="s">
        <v>54</v>
      </c>
      <c r="I1130" s="8" t="s">
        <v>40</v>
      </c>
      <c r="J1130" s="9">
        <v>1</v>
      </c>
      <c r="K1130" s="9">
        <v>282</v>
      </c>
      <c r="L1130" s="9">
        <v>2026</v>
      </c>
      <c r="M1130" s="8" t="s">
        <v>7275</v>
      </c>
      <c r="N1130" s="8" t="s">
        <v>42</v>
      </c>
      <c r="O1130" s="8" t="s">
        <v>187</v>
      </c>
      <c r="P1130" s="6" t="s">
        <v>44</v>
      </c>
      <c r="Q1130" s="8" t="s">
        <v>45</v>
      </c>
      <c r="R1130" s="10" t="s">
        <v>7276</v>
      </c>
      <c r="S1130" s="11"/>
      <c r="T1130" s="6"/>
      <c r="U1130" s="24" t="str">
        <f>HYPERLINK("https://media.infra-m.ru/2218/2218826/cover/2218826.jpg", "Обложка")</f>
        <v>Обложка</v>
      </c>
      <c r="V1130" s="24" t="str">
        <f>HYPERLINK("https://znanium.ru/catalog/product/2215381", "Ознакомиться")</f>
        <v>Ознакомиться</v>
      </c>
      <c r="W1130" s="8" t="s">
        <v>1373</v>
      </c>
      <c r="X1130" s="6"/>
      <c r="Y1130" s="6"/>
      <c r="Z1130" s="6"/>
      <c r="AA1130" s="6" t="s">
        <v>354</v>
      </c>
      <c r="AB1130" s="8"/>
    </row>
    <row r="1131" spans="1:28" s="4" customFormat="1" ht="51.95" customHeight="1">
      <c r="A1131" s="5">
        <v>0</v>
      </c>
      <c r="B1131" s="6" t="s">
        <v>7277</v>
      </c>
      <c r="C1131" s="7">
        <v>2300</v>
      </c>
      <c r="D1131" s="8" t="s">
        <v>7278</v>
      </c>
      <c r="E1131" s="8" t="s">
        <v>7279</v>
      </c>
      <c r="F1131" s="8" t="s">
        <v>7280</v>
      </c>
      <c r="G1131" s="6" t="s">
        <v>38</v>
      </c>
      <c r="H1131" s="6" t="s">
        <v>54</v>
      </c>
      <c r="I1131" s="8" t="s">
        <v>40</v>
      </c>
      <c r="J1131" s="9">
        <v>1</v>
      </c>
      <c r="K1131" s="9">
        <v>443</v>
      </c>
      <c r="L1131" s="9">
        <v>2026</v>
      </c>
      <c r="M1131" s="8" t="s">
        <v>7281</v>
      </c>
      <c r="N1131" s="8" t="s">
        <v>42</v>
      </c>
      <c r="O1131" s="8" t="s">
        <v>169</v>
      </c>
      <c r="P1131" s="6" t="s">
        <v>44</v>
      </c>
      <c r="Q1131" s="8" t="s">
        <v>45</v>
      </c>
      <c r="R1131" s="10" t="s">
        <v>7282</v>
      </c>
      <c r="S1131" s="11" t="s">
        <v>7283</v>
      </c>
      <c r="T1131" s="6" t="s">
        <v>118</v>
      </c>
      <c r="U1131" s="24" t="str">
        <f>HYPERLINK("https://media.infra-m.ru/2215/2215652/cover/2215652.jpg", "Обложка")</f>
        <v>Обложка</v>
      </c>
      <c r="V1131" s="24" t="str">
        <f>HYPERLINK("https://znanium.ru/catalog/product/2215652", "Ознакомиться")</f>
        <v>Ознакомиться</v>
      </c>
      <c r="W1131" s="8" t="s">
        <v>293</v>
      </c>
      <c r="X1131" s="6"/>
      <c r="Y1131" s="6"/>
      <c r="Z1131" s="6" t="s">
        <v>48</v>
      </c>
      <c r="AA1131" s="6" t="s">
        <v>999</v>
      </c>
      <c r="AB1131" s="8"/>
    </row>
    <row r="1132" spans="1:28" s="4" customFormat="1" ht="51.95" customHeight="1">
      <c r="A1132" s="5">
        <v>0</v>
      </c>
      <c r="B1132" s="6" t="s">
        <v>7284</v>
      </c>
      <c r="C1132" s="7">
        <v>1084</v>
      </c>
      <c r="D1132" s="8" t="s">
        <v>7285</v>
      </c>
      <c r="E1132" s="8" t="s">
        <v>7286</v>
      </c>
      <c r="F1132" s="8" t="s">
        <v>5997</v>
      </c>
      <c r="G1132" s="6" t="s">
        <v>90</v>
      </c>
      <c r="H1132" s="6" t="s">
        <v>299</v>
      </c>
      <c r="I1132" s="8" t="s">
        <v>40</v>
      </c>
      <c r="J1132" s="9">
        <v>1</v>
      </c>
      <c r="K1132" s="9">
        <v>208</v>
      </c>
      <c r="L1132" s="9">
        <v>2026</v>
      </c>
      <c r="M1132" s="8" t="s">
        <v>7287</v>
      </c>
      <c r="N1132" s="8" t="s">
        <v>42</v>
      </c>
      <c r="O1132" s="8" t="s">
        <v>169</v>
      </c>
      <c r="P1132" s="6" t="s">
        <v>58</v>
      </c>
      <c r="Q1132" s="8" t="s">
        <v>45</v>
      </c>
      <c r="R1132" s="10" t="s">
        <v>7288</v>
      </c>
      <c r="S1132" s="11" t="s">
        <v>3713</v>
      </c>
      <c r="T1132" s="6"/>
      <c r="U1132" s="24" t="str">
        <f>HYPERLINK("https://media.infra-m.ru/2222/2222179/cover/2222179.jpg", "Обложка")</f>
        <v>Обложка</v>
      </c>
      <c r="V1132" s="24" t="str">
        <f>HYPERLINK("https://znanium.ru/catalog/product/2220284", "Ознакомиться")</f>
        <v>Ознакомиться</v>
      </c>
      <c r="W1132" s="8" t="s">
        <v>172</v>
      </c>
      <c r="X1132" s="6"/>
      <c r="Y1132" s="6"/>
      <c r="Z1132" s="6"/>
      <c r="AA1132" s="6" t="s">
        <v>696</v>
      </c>
      <c r="AB1132" s="8"/>
    </row>
    <row r="1133" spans="1:28" s="4" customFormat="1" ht="51.95" customHeight="1">
      <c r="A1133" s="5">
        <v>0</v>
      </c>
      <c r="B1133" s="6" t="s">
        <v>7289</v>
      </c>
      <c r="C1133" s="7">
        <v>1610</v>
      </c>
      <c r="D1133" s="8" t="s">
        <v>7290</v>
      </c>
      <c r="E1133" s="8" t="s">
        <v>7291</v>
      </c>
      <c r="F1133" s="8" t="s">
        <v>5216</v>
      </c>
      <c r="G1133" s="6" t="s">
        <v>90</v>
      </c>
      <c r="H1133" s="6" t="s">
        <v>54</v>
      </c>
      <c r="I1133" s="8" t="s">
        <v>40</v>
      </c>
      <c r="J1133" s="9">
        <v>1</v>
      </c>
      <c r="K1133" s="9">
        <v>358</v>
      </c>
      <c r="L1133" s="9">
        <v>2023</v>
      </c>
      <c r="M1133" s="8" t="s">
        <v>7292</v>
      </c>
      <c r="N1133" s="8" t="s">
        <v>42</v>
      </c>
      <c r="O1133" s="8" t="s">
        <v>169</v>
      </c>
      <c r="P1133" s="6" t="s">
        <v>44</v>
      </c>
      <c r="Q1133" s="8" t="s">
        <v>45</v>
      </c>
      <c r="R1133" s="10" t="s">
        <v>7293</v>
      </c>
      <c r="S1133" s="11" t="s">
        <v>5219</v>
      </c>
      <c r="T1133" s="6"/>
      <c r="U1133" s="24" t="str">
        <f>HYPERLINK("https://media.infra-m.ru/1965/1965755/cover/1965755.jpg", "Обложка")</f>
        <v>Обложка</v>
      </c>
      <c r="V1133" s="24" t="str">
        <f>HYPERLINK("https://znanium.ru/catalog/product/1965755", "Ознакомиться")</f>
        <v>Ознакомиться</v>
      </c>
      <c r="W1133" s="8" t="s">
        <v>1373</v>
      </c>
      <c r="X1133" s="6"/>
      <c r="Y1133" s="6"/>
      <c r="Z1133" s="6" t="s">
        <v>48</v>
      </c>
      <c r="AA1133" s="6" t="s">
        <v>111</v>
      </c>
      <c r="AB1133" s="8"/>
    </row>
    <row r="1134" spans="1:28" s="4" customFormat="1" ht="51.95" customHeight="1">
      <c r="A1134" s="5">
        <v>0</v>
      </c>
      <c r="B1134" s="6" t="s">
        <v>7294</v>
      </c>
      <c r="C1134" s="7">
        <v>2330</v>
      </c>
      <c r="D1134" s="8" t="s">
        <v>7295</v>
      </c>
      <c r="E1134" s="8" t="s">
        <v>7296</v>
      </c>
      <c r="F1134" s="8" t="s">
        <v>7297</v>
      </c>
      <c r="G1134" s="6" t="s">
        <v>38</v>
      </c>
      <c r="H1134" s="6" t="s">
        <v>54</v>
      </c>
      <c r="I1134" s="8" t="s">
        <v>40</v>
      </c>
      <c r="J1134" s="9">
        <v>1</v>
      </c>
      <c r="K1134" s="9">
        <v>445</v>
      </c>
      <c r="L1134" s="9">
        <v>2026</v>
      </c>
      <c r="M1134" s="8" t="s">
        <v>7298</v>
      </c>
      <c r="N1134" s="8" t="s">
        <v>42</v>
      </c>
      <c r="O1134" s="8" t="s">
        <v>169</v>
      </c>
      <c r="P1134" s="6" t="s">
        <v>58</v>
      </c>
      <c r="Q1134" s="8" t="s">
        <v>45</v>
      </c>
      <c r="R1134" s="10" t="s">
        <v>7299</v>
      </c>
      <c r="S1134" s="11" t="s">
        <v>7300</v>
      </c>
      <c r="T1134" s="6"/>
      <c r="U1134" s="24" t="str">
        <f>HYPERLINK("https://media.infra-m.ru/2216/2216921/cover/2216921.jpg", "Обложка")</f>
        <v>Обложка</v>
      </c>
      <c r="V1134" s="24" t="str">
        <f>HYPERLINK("https://znanium.ru/catalog/product/2216921", "Ознакомиться")</f>
        <v>Ознакомиться</v>
      </c>
      <c r="W1134" s="8" t="s">
        <v>593</v>
      </c>
      <c r="X1134" s="6"/>
      <c r="Y1134" s="6"/>
      <c r="Z1134" s="6" t="s">
        <v>48</v>
      </c>
      <c r="AA1134" s="6" t="s">
        <v>223</v>
      </c>
      <c r="AB1134" s="8" t="s">
        <v>860</v>
      </c>
    </row>
    <row r="1135" spans="1:28" s="4" customFormat="1" ht="51.95" customHeight="1">
      <c r="A1135" s="5">
        <v>0</v>
      </c>
      <c r="B1135" s="6" t="s">
        <v>7301</v>
      </c>
      <c r="C1135" s="13">
        <v>734</v>
      </c>
      <c r="D1135" s="8" t="s">
        <v>7302</v>
      </c>
      <c r="E1135" s="8" t="s">
        <v>7303</v>
      </c>
      <c r="F1135" s="8" t="s">
        <v>7304</v>
      </c>
      <c r="G1135" s="6" t="s">
        <v>67</v>
      </c>
      <c r="H1135" s="6" t="s">
        <v>54</v>
      </c>
      <c r="I1135" s="8" t="s">
        <v>40</v>
      </c>
      <c r="J1135" s="9">
        <v>1</v>
      </c>
      <c r="K1135" s="9">
        <v>142</v>
      </c>
      <c r="L1135" s="9">
        <v>2026</v>
      </c>
      <c r="M1135" s="8" t="s">
        <v>7305</v>
      </c>
      <c r="N1135" s="8" t="s">
        <v>42</v>
      </c>
      <c r="O1135" s="8" t="s">
        <v>169</v>
      </c>
      <c r="P1135" s="6" t="s">
        <v>44</v>
      </c>
      <c r="Q1135" s="8" t="s">
        <v>45</v>
      </c>
      <c r="R1135" s="10" t="s">
        <v>7306</v>
      </c>
      <c r="S1135" s="11" t="s">
        <v>7307</v>
      </c>
      <c r="T1135" s="6"/>
      <c r="U1135" s="24" t="str">
        <f>HYPERLINK("https://media.infra-m.ru/2216/2216309/cover/2216309.jpg", "Обложка")</f>
        <v>Обложка</v>
      </c>
      <c r="V1135" s="24" t="str">
        <f>HYPERLINK("https://znanium.ru/catalog/product/2215063", "Ознакомиться")</f>
        <v>Ознакомиться</v>
      </c>
      <c r="W1135" s="8" t="s">
        <v>1317</v>
      </c>
      <c r="X1135" s="6"/>
      <c r="Y1135" s="6"/>
      <c r="Z1135" s="6" t="s">
        <v>48</v>
      </c>
      <c r="AA1135" s="6" t="s">
        <v>740</v>
      </c>
      <c r="AB1135" s="8"/>
    </row>
    <row r="1136" spans="1:28" s="4" customFormat="1" ht="51.95" customHeight="1">
      <c r="A1136" s="5">
        <v>0</v>
      </c>
      <c r="B1136" s="6" t="s">
        <v>7308</v>
      </c>
      <c r="C1136" s="7">
        <v>1214</v>
      </c>
      <c r="D1136" s="8" t="s">
        <v>7309</v>
      </c>
      <c r="E1136" s="8" t="s">
        <v>7310</v>
      </c>
      <c r="F1136" s="8" t="s">
        <v>7311</v>
      </c>
      <c r="G1136" s="6" t="s">
        <v>38</v>
      </c>
      <c r="H1136" s="6" t="s">
        <v>54</v>
      </c>
      <c r="I1136" s="8" t="s">
        <v>40</v>
      </c>
      <c r="J1136" s="9">
        <v>1</v>
      </c>
      <c r="K1136" s="9">
        <v>263</v>
      </c>
      <c r="L1136" s="9">
        <v>2024</v>
      </c>
      <c r="M1136" s="8" t="s">
        <v>7312</v>
      </c>
      <c r="N1136" s="8" t="s">
        <v>42</v>
      </c>
      <c r="O1136" s="8" t="s">
        <v>1370</v>
      </c>
      <c r="P1136" s="6" t="s">
        <v>44</v>
      </c>
      <c r="Q1136" s="8" t="s">
        <v>45</v>
      </c>
      <c r="R1136" s="10" t="s">
        <v>7313</v>
      </c>
      <c r="S1136" s="11" t="s">
        <v>7314</v>
      </c>
      <c r="T1136" s="6"/>
      <c r="U1136" s="24" t="str">
        <f>HYPERLINK("https://media.infra-m.ru/2116/2116703/cover/2116703.jpg", "Обложка")</f>
        <v>Обложка</v>
      </c>
      <c r="V1136" s="24" t="str">
        <f>HYPERLINK("https://znanium.ru/catalog/product/2103213", "Ознакомиться")</f>
        <v>Ознакомиться</v>
      </c>
      <c r="W1136" s="8" t="s">
        <v>7315</v>
      </c>
      <c r="X1136" s="6"/>
      <c r="Y1136" s="6"/>
      <c r="Z1136" s="6" t="s">
        <v>48</v>
      </c>
      <c r="AA1136" s="6" t="s">
        <v>111</v>
      </c>
      <c r="AB1136" s="8"/>
    </row>
    <row r="1137" spans="1:28" s="4" customFormat="1" ht="51.95" customHeight="1">
      <c r="A1137" s="5">
        <v>0</v>
      </c>
      <c r="B1137" s="6" t="s">
        <v>7316</v>
      </c>
      <c r="C1137" s="7">
        <v>1224.9000000000001</v>
      </c>
      <c r="D1137" s="8" t="s">
        <v>7317</v>
      </c>
      <c r="E1137" s="8" t="s">
        <v>7318</v>
      </c>
      <c r="F1137" s="8" t="s">
        <v>7319</v>
      </c>
      <c r="G1137" s="6" t="s">
        <v>38</v>
      </c>
      <c r="H1137" s="6" t="s">
        <v>54</v>
      </c>
      <c r="I1137" s="8" t="s">
        <v>40</v>
      </c>
      <c r="J1137" s="9">
        <v>1</v>
      </c>
      <c r="K1137" s="9">
        <v>272</v>
      </c>
      <c r="L1137" s="9">
        <v>2023</v>
      </c>
      <c r="M1137" s="8" t="s">
        <v>7320</v>
      </c>
      <c r="N1137" s="8" t="s">
        <v>42</v>
      </c>
      <c r="O1137" s="8" t="s">
        <v>169</v>
      </c>
      <c r="P1137" s="6" t="s">
        <v>44</v>
      </c>
      <c r="Q1137" s="8" t="s">
        <v>45</v>
      </c>
      <c r="R1137" s="10" t="s">
        <v>7321</v>
      </c>
      <c r="S1137" s="11" t="s">
        <v>7322</v>
      </c>
      <c r="T1137" s="6"/>
      <c r="U1137" s="24" t="str">
        <f>HYPERLINK("https://media.infra-m.ru/1976/1976173/cover/1976173.jpg", "Обложка")</f>
        <v>Обложка</v>
      </c>
      <c r="V1137" s="24" t="str">
        <f>HYPERLINK("https://znanium.ru/catalog/product/1021172", "Ознакомиться")</f>
        <v>Ознакомиться</v>
      </c>
      <c r="W1137" s="8" t="s">
        <v>7323</v>
      </c>
      <c r="X1137" s="6"/>
      <c r="Y1137" s="6"/>
      <c r="Z1137" s="6" t="s">
        <v>48</v>
      </c>
      <c r="AA1137" s="6" t="s">
        <v>1027</v>
      </c>
      <c r="AB1137" s="8"/>
    </row>
    <row r="1138" spans="1:28" s="4" customFormat="1" ht="51.95" customHeight="1">
      <c r="A1138" s="5">
        <v>0</v>
      </c>
      <c r="B1138" s="6" t="s">
        <v>7324</v>
      </c>
      <c r="C1138" s="7">
        <v>2904</v>
      </c>
      <c r="D1138" s="8" t="s">
        <v>7325</v>
      </c>
      <c r="E1138" s="8" t="s">
        <v>7326</v>
      </c>
      <c r="F1138" s="8" t="s">
        <v>7327</v>
      </c>
      <c r="G1138" s="6" t="s">
        <v>90</v>
      </c>
      <c r="H1138" s="6" t="s">
        <v>39</v>
      </c>
      <c r="I1138" s="8" t="s">
        <v>69</v>
      </c>
      <c r="J1138" s="9">
        <v>1</v>
      </c>
      <c r="K1138" s="9">
        <v>610</v>
      </c>
      <c r="L1138" s="9">
        <v>2025</v>
      </c>
      <c r="M1138" s="8" t="s">
        <v>7328</v>
      </c>
      <c r="N1138" s="8" t="s">
        <v>42</v>
      </c>
      <c r="O1138" s="8" t="s">
        <v>169</v>
      </c>
      <c r="P1138" s="6" t="s">
        <v>44</v>
      </c>
      <c r="Q1138" s="8" t="s">
        <v>45</v>
      </c>
      <c r="R1138" s="10" t="s">
        <v>7329</v>
      </c>
      <c r="S1138" s="11" t="s">
        <v>7330</v>
      </c>
      <c r="T1138" s="6"/>
      <c r="U1138" s="24" t="str">
        <f>HYPERLINK("https://media.infra-m.ru/2201/2201208/cover/2201208.jpg", "Обложка")</f>
        <v>Обложка</v>
      </c>
      <c r="V1138" s="24" t="str">
        <f>HYPERLINK("https://znanium.ru/catalog/product/1226473", "Ознакомиться")</f>
        <v>Ознакомиться</v>
      </c>
      <c r="W1138" s="8" t="s">
        <v>172</v>
      </c>
      <c r="X1138" s="6"/>
      <c r="Y1138" s="6"/>
      <c r="Z1138" s="6"/>
      <c r="AA1138" s="6" t="s">
        <v>181</v>
      </c>
      <c r="AB1138" s="8"/>
    </row>
    <row r="1139" spans="1:28" s="4" customFormat="1" ht="51.95" customHeight="1">
      <c r="A1139" s="5">
        <v>0</v>
      </c>
      <c r="B1139" s="6" t="s">
        <v>7331</v>
      </c>
      <c r="C1139" s="13">
        <v>830</v>
      </c>
      <c r="D1139" s="8" t="s">
        <v>7332</v>
      </c>
      <c r="E1139" s="8" t="s">
        <v>7333</v>
      </c>
      <c r="F1139" s="8" t="s">
        <v>7334</v>
      </c>
      <c r="G1139" s="6" t="s">
        <v>90</v>
      </c>
      <c r="H1139" s="6" t="s">
        <v>54</v>
      </c>
      <c r="I1139" s="8" t="s">
        <v>40</v>
      </c>
      <c r="J1139" s="9">
        <v>1</v>
      </c>
      <c r="K1139" s="9">
        <v>224</v>
      </c>
      <c r="L1139" s="9">
        <v>2022</v>
      </c>
      <c r="M1139" s="8" t="s">
        <v>7335</v>
      </c>
      <c r="N1139" s="8" t="s">
        <v>42</v>
      </c>
      <c r="O1139" s="8" t="s">
        <v>169</v>
      </c>
      <c r="P1139" s="6" t="s">
        <v>44</v>
      </c>
      <c r="Q1139" s="8" t="s">
        <v>45</v>
      </c>
      <c r="R1139" s="10" t="s">
        <v>7336</v>
      </c>
      <c r="S1139" s="11" t="s">
        <v>7337</v>
      </c>
      <c r="T1139" s="6"/>
      <c r="U1139" s="24" t="str">
        <f>HYPERLINK("https://media.infra-m.ru/1723/1723512/cover/1723512.jpg", "Обложка")</f>
        <v>Обложка</v>
      </c>
      <c r="V1139" s="24" t="str">
        <f>HYPERLINK("https://znanium.ru/catalog/product/1723512", "Ознакомиться")</f>
        <v>Ознакомиться</v>
      </c>
      <c r="W1139" s="8" t="s">
        <v>593</v>
      </c>
      <c r="X1139" s="6"/>
      <c r="Y1139" s="6"/>
      <c r="Z1139" s="6" t="s">
        <v>48</v>
      </c>
      <c r="AA1139" s="6" t="s">
        <v>740</v>
      </c>
      <c r="AB1139" s="8"/>
    </row>
    <row r="1140" spans="1:28" s="4" customFormat="1" ht="51.95" customHeight="1">
      <c r="A1140" s="5">
        <v>0</v>
      </c>
      <c r="B1140" s="6" t="s">
        <v>7338</v>
      </c>
      <c r="C1140" s="7">
        <v>1524</v>
      </c>
      <c r="D1140" s="8" t="s">
        <v>7339</v>
      </c>
      <c r="E1140" s="8" t="s">
        <v>7340</v>
      </c>
      <c r="F1140" s="8" t="s">
        <v>7341</v>
      </c>
      <c r="G1140" s="6" t="s">
        <v>38</v>
      </c>
      <c r="H1140" s="6" t="s">
        <v>39</v>
      </c>
      <c r="I1140" s="8" t="s">
        <v>69</v>
      </c>
      <c r="J1140" s="9">
        <v>1</v>
      </c>
      <c r="K1140" s="9">
        <v>304</v>
      </c>
      <c r="L1140" s="9">
        <v>2025</v>
      </c>
      <c r="M1140" s="8" t="s">
        <v>7342</v>
      </c>
      <c r="N1140" s="8" t="s">
        <v>42</v>
      </c>
      <c r="O1140" s="8" t="s">
        <v>169</v>
      </c>
      <c r="P1140" s="6" t="s">
        <v>44</v>
      </c>
      <c r="Q1140" s="8" t="s">
        <v>45</v>
      </c>
      <c r="R1140" s="10" t="s">
        <v>7343</v>
      </c>
      <c r="S1140" s="11" t="s">
        <v>3257</v>
      </c>
      <c r="T1140" s="6"/>
      <c r="U1140" s="24" t="str">
        <f>HYPERLINK("https://media.infra-m.ru/2161/2161685/cover/2161685.jpg", "Обложка")</f>
        <v>Обложка</v>
      </c>
      <c r="V1140" s="24" t="str">
        <f>HYPERLINK("https://znanium.ru/catalog/product/1834753", "Ознакомиться")</f>
        <v>Ознакомиться</v>
      </c>
      <c r="W1140" s="8" t="s">
        <v>172</v>
      </c>
      <c r="X1140" s="6"/>
      <c r="Y1140" s="6"/>
      <c r="Z1140" s="6"/>
      <c r="AA1140" s="6" t="s">
        <v>304</v>
      </c>
      <c r="AB1140" s="8"/>
    </row>
    <row r="1141" spans="1:28" s="4" customFormat="1" ht="51.95" customHeight="1">
      <c r="A1141" s="5">
        <v>0</v>
      </c>
      <c r="B1141" s="6" t="s">
        <v>7344</v>
      </c>
      <c r="C1141" s="7">
        <v>1100</v>
      </c>
      <c r="D1141" s="8" t="s">
        <v>7345</v>
      </c>
      <c r="E1141" s="8" t="s">
        <v>7346</v>
      </c>
      <c r="F1141" s="8" t="s">
        <v>7347</v>
      </c>
      <c r="G1141" s="6" t="s">
        <v>38</v>
      </c>
      <c r="H1141" s="6" t="s">
        <v>54</v>
      </c>
      <c r="I1141" s="8" t="s">
        <v>40</v>
      </c>
      <c r="J1141" s="9">
        <v>1</v>
      </c>
      <c r="K1141" s="9">
        <v>305</v>
      </c>
      <c r="L1141" s="9">
        <v>2021</v>
      </c>
      <c r="M1141" s="8" t="s">
        <v>7348</v>
      </c>
      <c r="N1141" s="8" t="s">
        <v>42</v>
      </c>
      <c r="O1141" s="8" t="s">
        <v>169</v>
      </c>
      <c r="P1141" s="6" t="s">
        <v>44</v>
      </c>
      <c r="Q1141" s="8" t="s">
        <v>45</v>
      </c>
      <c r="R1141" s="10" t="s">
        <v>7349</v>
      </c>
      <c r="S1141" s="11" t="s">
        <v>7350</v>
      </c>
      <c r="T1141" s="6"/>
      <c r="U1141" s="24" t="str">
        <f>HYPERLINK("https://media.infra-m.ru/1043/1043102/cover/1043102.jpg", "Обложка")</f>
        <v>Обложка</v>
      </c>
      <c r="V1141" s="12"/>
      <c r="W1141" s="8" t="s">
        <v>7351</v>
      </c>
      <c r="X1141" s="6"/>
      <c r="Y1141" s="6"/>
      <c r="Z1141" s="6" t="s">
        <v>48</v>
      </c>
      <c r="AA1141" s="6" t="s">
        <v>485</v>
      </c>
      <c r="AB1141" s="8"/>
    </row>
    <row r="1142" spans="1:28" s="4" customFormat="1" ht="51.95" customHeight="1">
      <c r="A1142" s="5">
        <v>0</v>
      </c>
      <c r="B1142" s="6" t="s">
        <v>7352</v>
      </c>
      <c r="C1142" s="7">
        <v>2770</v>
      </c>
      <c r="D1142" s="8" t="s">
        <v>7353</v>
      </c>
      <c r="E1142" s="8" t="s">
        <v>7354</v>
      </c>
      <c r="F1142" s="8" t="s">
        <v>7355</v>
      </c>
      <c r="G1142" s="6" t="s">
        <v>38</v>
      </c>
      <c r="H1142" s="6" t="s">
        <v>54</v>
      </c>
      <c r="I1142" s="8" t="s">
        <v>40</v>
      </c>
      <c r="J1142" s="9">
        <v>1</v>
      </c>
      <c r="K1142" s="9">
        <v>530</v>
      </c>
      <c r="L1142" s="9">
        <v>2026</v>
      </c>
      <c r="M1142" s="8" t="s">
        <v>7356</v>
      </c>
      <c r="N1142" s="8" t="s">
        <v>42</v>
      </c>
      <c r="O1142" s="8" t="s">
        <v>169</v>
      </c>
      <c r="P1142" s="6" t="s">
        <v>58</v>
      </c>
      <c r="Q1142" s="8" t="s">
        <v>45</v>
      </c>
      <c r="R1142" s="10" t="s">
        <v>7357</v>
      </c>
      <c r="S1142" s="11" t="s">
        <v>7358</v>
      </c>
      <c r="T1142" s="6"/>
      <c r="U1142" s="24" t="str">
        <f>HYPERLINK("https://media.infra-m.ru/2215/2215727/cover/2215727.jpg", "Обложка")</f>
        <v>Обложка</v>
      </c>
      <c r="V1142" s="24" t="str">
        <f>HYPERLINK("https://znanium.ru/catalog/product/2215727", "Ознакомиться")</f>
        <v>Ознакомиться</v>
      </c>
      <c r="W1142" s="8" t="s">
        <v>1373</v>
      </c>
      <c r="X1142" s="6"/>
      <c r="Y1142" s="6"/>
      <c r="Z1142" s="6" t="s">
        <v>48</v>
      </c>
      <c r="AA1142" s="6" t="s">
        <v>485</v>
      </c>
      <c r="AB1142" s="8"/>
    </row>
    <row r="1143" spans="1:28" s="4" customFormat="1" ht="51.95" customHeight="1">
      <c r="A1143" s="5">
        <v>0</v>
      </c>
      <c r="B1143" s="6" t="s">
        <v>7359</v>
      </c>
      <c r="C1143" s="7">
        <v>5490</v>
      </c>
      <c r="D1143" s="8" t="s">
        <v>7360</v>
      </c>
      <c r="E1143" s="8" t="s">
        <v>7361</v>
      </c>
      <c r="F1143" s="8" t="s">
        <v>7362</v>
      </c>
      <c r="G1143" s="6" t="s">
        <v>38</v>
      </c>
      <c r="H1143" s="6" t="s">
        <v>39</v>
      </c>
      <c r="I1143" s="8"/>
      <c r="J1143" s="9">
        <v>1</v>
      </c>
      <c r="K1143" s="9">
        <v>860</v>
      </c>
      <c r="L1143" s="9">
        <v>2025</v>
      </c>
      <c r="M1143" s="8" t="s">
        <v>7363</v>
      </c>
      <c r="N1143" s="8" t="s">
        <v>42</v>
      </c>
      <c r="O1143" s="8" t="s">
        <v>169</v>
      </c>
      <c r="P1143" s="6" t="s">
        <v>58</v>
      </c>
      <c r="Q1143" s="8" t="s">
        <v>45</v>
      </c>
      <c r="R1143" s="10" t="s">
        <v>7364</v>
      </c>
      <c r="S1143" s="11" t="s">
        <v>7365</v>
      </c>
      <c r="T1143" s="6"/>
      <c r="U1143" s="24" t="str">
        <f>HYPERLINK("https://media.infra-m.ru/2222/2222606/cover/2222606.jpg", "Обложка")</f>
        <v>Обложка</v>
      </c>
      <c r="V1143" s="24" t="str">
        <f>HYPERLINK("https://znanium.ru/catalog/product/2222606", "Ознакомиться")</f>
        <v>Ознакомиться</v>
      </c>
      <c r="W1143" s="8" t="s">
        <v>172</v>
      </c>
      <c r="X1143" s="6"/>
      <c r="Y1143" s="6"/>
      <c r="Z1143" s="6"/>
      <c r="AA1143" s="6" t="s">
        <v>4815</v>
      </c>
      <c r="AB1143" s="8"/>
    </row>
    <row r="1144" spans="1:28" s="4" customFormat="1" ht="51.95" customHeight="1">
      <c r="A1144" s="5">
        <v>0</v>
      </c>
      <c r="B1144" s="6" t="s">
        <v>7366</v>
      </c>
      <c r="C1144" s="13">
        <v>820</v>
      </c>
      <c r="D1144" s="8" t="s">
        <v>7367</v>
      </c>
      <c r="E1144" s="8" t="s">
        <v>7361</v>
      </c>
      <c r="F1144" s="8" t="s">
        <v>7334</v>
      </c>
      <c r="G1144" s="6" t="s">
        <v>38</v>
      </c>
      <c r="H1144" s="6" t="s">
        <v>54</v>
      </c>
      <c r="I1144" s="8" t="s">
        <v>40</v>
      </c>
      <c r="J1144" s="9">
        <v>1</v>
      </c>
      <c r="K1144" s="9">
        <v>240</v>
      </c>
      <c r="L1144" s="9">
        <v>2020</v>
      </c>
      <c r="M1144" s="8" t="s">
        <v>7368</v>
      </c>
      <c r="N1144" s="8" t="s">
        <v>42</v>
      </c>
      <c r="O1144" s="8" t="s">
        <v>169</v>
      </c>
      <c r="P1144" s="6" t="s">
        <v>44</v>
      </c>
      <c r="Q1144" s="8" t="s">
        <v>45</v>
      </c>
      <c r="R1144" s="10" t="s">
        <v>7369</v>
      </c>
      <c r="S1144" s="11" t="s">
        <v>7370</v>
      </c>
      <c r="T1144" s="6"/>
      <c r="U1144" s="24" t="str">
        <f>HYPERLINK("https://media.infra-m.ru/1043/1043105/cover/1043105.jpg", "Обложка")</f>
        <v>Обложка</v>
      </c>
      <c r="V1144" s="24" t="str">
        <f>HYPERLINK("https://znanium.ru/catalog/product/1043105", "Ознакомиться")</f>
        <v>Ознакомиться</v>
      </c>
      <c r="W1144" s="8" t="s">
        <v>593</v>
      </c>
      <c r="X1144" s="6"/>
      <c r="Y1144" s="6"/>
      <c r="Z1144" s="6" t="s">
        <v>48</v>
      </c>
      <c r="AA1144" s="6" t="s">
        <v>443</v>
      </c>
      <c r="AB1144" s="8"/>
    </row>
    <row r="1145" spans="1:28" s="4" customFormat="1" ht="51.95" customHeight="1">
      <c r="A1145" s="5">
        <v>0</v>
      </c>
      <c r="B1145" s="6" t="s">
        <v>7371</v>
      </c>
      <c r="C1145" s="13">
        <v>840</v>
      </c>
      <c r="D1145" s="8" t="s">
        <v>7372</v>
      </c>
      <c r="E1145" s="8" t="s">
        <v>7373</v>
      </c>
      <c r="F1145" s="8" t="s">
        <v>7374</v>
      </c>
      <c r="G1145" s="6" t="s">
        <v>90</v>
      </c>
      <c r="H1145" s="6" t="s">
        <v>54</v>
      </c>
      <c r="I1145" s="8" t="s">
        <v>40</v>
      </c>
      <c r="J1145" s="9">
        <v>1</v>
      </c>
      <c r="K1145" s="9">
        <v>180</v>
      </c>
      <c r="L1145" s="9">
        <v>2023</v>
      </c>
      <c r="M1145" s="8" t="s">
        <v>7375</v>
      </c>
      <c r="N1145" s="8" t="s">
        <v>42</v>
      </c>
      <c r="O1145" s="8" t="s">
        <v>169</v>
      </c>
      <c r="P1145" s="6" t="s">
        <v>44</v>
      </c>
      <c r="Q1145" s="8" t="s">
        <v>45</v>
      </c>
      <c r="R1145" s="10" t="s">
        <v>7376</v>
      </c>
      <c r="S1145" s="11" t="s">
        <v>7377</v>
      </c>
      <c r="T1145" s="6"/>
      <c r="U1145" s="24" t="str">
        <f>HYPERLINK("https://media.infra-m.ru/1893/1893797/cover/1893797.jpg", "Обложка")</f>
        <v>Обложка</v>
      </c>
      <c r="V1145" s="24" t="str">
        <f>HYPERLINK("https://znanium.ru/catalog/product/1893797", "Ознакомиться")</f>
        <v>Ознакомиться</v>
      </c>
      <c r="W1145" s="8" t="s">
        <v>293</v>
      </c>
      <c r="X1145" s="6"/>
      <c r="Y1145" s="6"/>
      <c r="Z1145" s="6" t="s">
        <v>48</v>
      </c>
      <c r="AA1145" s="6" t="s">
        <v>111</v>
      </c>
      <c r="AB1145" s="8"/>
    </row>
    <row r="1146" spans="1:28" s="4" customFormat="1" ht="42" customHeight="1">
      <c r="A1146" s="5">
        <v>0</v>
      </c>
      <c r="B1146" s="6" t="s">
        <v>7378</v>
      </c>
      <c r="C1146" s="7">
        <v>1799</v>
      </c>
      <c r="D1146" s="8" t="s">
        <v>7379</v>
      </c>
      <c r="E1146" s="8" t="s">
        <v>7380</v>
      </c>
      <c r="F1146" s="8" t="s">
        <v>7381</v>
      </c>
      <c r="G1146" s="6" t="s">
        <v>38</v>
      </c>
      <c r="H1146" s="6" t="s">
        <v>54</v>
      </c>
      <c r="I1146" s="8" t="s">
        <v>568</v>
      </c>
      <c r="J1146" s="9">
        <v>1</v>
      </c>
      <c r="K1146" s="9">
        <v>270</v>
      </c>
      <c r="L1146" s="9">
        <v>2025</v>
      </c>
      <c r="M1146" s="8" t="s">
        <v>7382</v>
      </c>
      <c r="N1146" s="8" t="s">
        <v>42</v>
      </c>
      <c r="O1146" s="8" t="s">
        <v>169</v>
      </c>
      <c r="P1146" s="6" t="s">
        <v>44</v>
      </c>
      <c r="Q1146" s="8" t="s">
        <v>45</v>
      </c>
      <c r="R1146" s="10" t="s">
        <v>7383</v>
      </c>
      <c r="S1146" s="11"/>
      <c r="T1146" s="6"/>
      <c r="U1146" s="24" t="str">
        <f>HYPERLINK("https://media.infra-m.ru/2184/2184550/cover/2184550.jpg", "Обложка")</f>
        <v>Обложка</v>
      </c>
      <c r="V1146" s="24" t="str">
        <f>HYPERLINK("https://znanium.ru/catalog/product/2184550", "Ознакомиться")</f>
        <v>Ознакомиться</v>
      </c>
      <c r="W1146" s="8" t="s">
        <v>1180</v>
      </c>
      <c r="X1146" s="6" t="s">
        <v>727</v>
      </c>
      <c r="Y1146" s="6"/>
      <c r="Z1146" s="6" t="s">
        <v>207</v>
      </c>
      <c r="AA1146" s="6" t="s">
        <v>84</v>
      </c>
      <c r="AB1146" s="8"/>
    </row>
    <row r="1147" spans="1:28" s="4" customFormat="1" ht="51.95" customHeight="1">
      <c r="A1147" s="5">
        <v>0</v>
      </c>
      <c r="B1147" s="6" t="s">
        <v>7384</v>
      </c>
      <c r="C1147" s="7">
        <v>1954</v>
      </c>
      <c r="D1147" s="8" t="s">
        <v>7385</v>
      </c>
      <c r="E1147" s="8" t="s">
        <v>7386</v>
      </c>
      <c r="F1147" s="8" t="s">
        <v>4301</v>
      </c>
      <c r="G1147" s="6" t="s">
        <v>90</v>
      </c>
      <c r="H1147" s="6" t="s">
        <v>54</v>
      </c>
      <c r="I1147" s="8" t="s">
        <v>40</v>
      </c>
      <c r="J1147" s="9">
        <v>1</v>
      </c>
      <c r="K1147" s="9">
        <v>375</v>
      </c>
      <c r="L1147" s="9">
        <v>2026</v>
      </c>
      <c r="M1147" s="8" t="s">
        <v>7387</v>
      </c>
      <c r="N1147" s="8" t="s">
        <v>125</v>
      </c>
      <c r="O1147" s="8" t="s">
        <v>126</v>
      </c>
      <c r="P1147" s="6" t="s">
        <v>58</v>
      </c>
      <c r="Q1147" s="8" t="s">
        <v>45</v>
      </c>
      <c r="R1147" s="10" t="s">
        <v>1005</v>
      </c>
      <c r="S1147" s="11" t="s">
        <v>2295</v>
      </c>
      <c r="T1147" s="6"/>
      <c r="U1147" s="24" t="str">
        <f>HYPERLINK("https://media.infra-m.ru/2222/2222986/cover/2222986.jpg", "Обложка")</f>
        <v>Обложка</v>
      </c>
      <c r="V1147" s="24" t="str">
        <f>HYPERLINK("https://znanium.ru/catalog/product/2179094", "Ознакомиться")</f>
        <v>Ознакомиться</v>
      </c>
      <c r="W1147" s="8" t="s">
        <v>4304</v>
      </c>
      <c r="X1147" s="6"/>
      <c r="Y1147" s="6"/>
      <c r="Z1147" s="6" t="s">
        <v>48</v>
      </c>
      <c r="AA1147" s="6" t="s">
        <v>111</v>
      </c>
      <c r="AB1147" s="8"/>
    </row>
    <row r="1148" spans="1:28" s="4" customFormat="1" ht="42" customHeight="1">
      <c r="A1148" s="5">
        <v>0</v>
      </c>
      <c r="B1148" s="6" t="s">
        <v>7388</v>
      </c>
      <c r="C1148" s="7">
        <v>1290</v>
      </c>
      <c r="D1148" s="8" t="s">
        <v>7389</v>
      </c>
      <c r="E1148" s="8" t="s">
        <v>7390</v>
      </c>
      <c r="F1148" s="8" t="s">
        <v>4713</v>
      </c>
      <c r="G1148" s="6" t="s">
        <v>90</v>
      </c>
      <c r="H1148" s="6" t="s">
        <v>54</v>
      </c>
      <c r="I1148" s="8" t="s">
        <v>40</v>
      </c>
      <c r="J1148" s="9">
        <v>1</v>
      </c>
      <c r="K1148" s="9">
        <v>210</v>
      </c>
      <c r="L1148" s="9">
        <v>2026</v>
      </c>
      <c r="M1148" s="8" t="s">
        <v>7391</v>
      </c>
      <c r="N1148" s="8" t="s">
        <v>125</v>
      </c>
      <c r="O1148" s="8" t="s">
        <v>126</v>
      </c>
      <c r="P1148" s="6" t="s">
        <v>44</v>
      </c>
      <c r="Q1148" s="8" t="s">
        <v>45</v>
      </c>
      <c r="R1148" s="10" t="s">
        <v>4321</v>
      </c>
      <c r="S1148" s="11"/>
      <c r="T1148" s="6"/>
      <c r="U1148" s="24" t="str">
        <f>HYPERLINK("https://media.infra-m.ru/2221/2221981/cover/2221981.jpg", "Обложка")</f>
        <v>Обложка</v>
      </c>
      <c r="V1148" s="24" t="str">
        <f>HYPERLINK("https://znanium.ru/catalog/product/2221981", "Ознакомиться")</f>
        <v>Ознакомиться</v>
      </c>
      <c r="W1148" s="8" t="s">
        <v>180</v>
      </c>
      <c r="X1148" s="6"/>
      <c r="Y1148" s="6"/>
      <c r="Z1148" s="6"/>
      <c r="AA1148" s="6" t="s">
        <v>354</v>
      </c>
      <c r="AB1148" s="8"/>
    </row>
    <row r="1149" spans="1:28" s="4" customFormat="1" ht="51.95" customHeight="1">
      <c r="A1149" s="5">
        <v>0</v>
      </c>
      <c r="B1149" s="6" t="s">
        <v>7392</v>
      </c>
      <c r="C1149" s="7">
        <v>1014</v>
      </c>
      <c r="D1149" s="8" t="s">
        <v>7393</v>
      </c>
      <c r="E1149" s="8" t="s">
        <v>7394</v>
      </c>
      <c r="F1149" s="8" t="s">
        <v>7395</v>
      </c>
      <c r="G1149" s="6" t="s">
        <v>90</v>
      </c>
      <c r="H1149" s="6" t="s">
        <v>54</v>
      </c>
      <c r="I1149" s="8" t="s">
        <v>40</v>
      </c>
      <c r="J1149" s="9">
        <v>1</v>
      </c>
      <c r="K1149" s="9">
        <v>202</v>
      </c>
      <c r="L1149" s="9">
        <v>2025</v>
      </c>
      <c r="M1149" s="8" t="s">
        <v>7396</v>
      </c>
      <c r="N1149" s="8" t="s">
        <v>42</v>
      </c>
      <c r="O1149" s="8" t="s">
        <v>169</v>
      </c>
      <c r="P1149" s="6" t="s">
        <v>44</v>
      </c>
      <c r="Q1149" s="8" t="s">
        <v>45</v>
      </c>
      <c r="R1149" s="10" t="s">
        <v>7397</v>
      </c>
      <c r="S1149" s="11" t="s">
        <v>7398</v>
      </c>
      <c r="T1149" s="6"/>
      <c r="U1149" s="24" t="str">
        <f>HYPERLINK("https://media.infra-m.ru/2187/2187053/cover/2187053.jpg", "Обложка")</f>
        <v>Обложка</v>
      </c>
      <c r="V1149" s="24" t="str">
        <f>HYPERLINK("https://znanium.ru/catalog/product/2132946", "Ознакомиться")</f>
        <v>Ознакомиться</v>
      </c>
      <c r="W1149" s="8" t="s">
        <v>547</v>
      </c>
      <c r="X1149" s="6"/>
      <c r="Y1149" s="6"/>
      <c r="Z1149" s="6" t="s">
        <v>48</v>
      </c>
      <c r="AA1149" s="6" t="s">
        <v>223</v>
      </c>
      <c r="AB1149" s="8"/>
    </row>
    <row r="1150" spans="1:28" s="4" customFormat="1" ht="51.95" customHeight="1">
      <c r="A1150" s="5">
        <v>0</v>
      </c>
      <c r="B1150" s="6" t="s">
        <v>7399</v>
      </c>
      <c r="C1150" s="7">
        <v>2060</v>
      </c>
      <c r="D1150" s="8" t="s">
        <v>7400</v>
      </c>
      <c r="E1150" s="8" t="s">
        <v>7401</v>
      </c>
      <c r="F1150" s="8" t="s">
        <v>7402</v>
      </c>
      <c r="G1150" s="6" t="s">
        <v>90</v>
      </c>
      <c r="H1150" s="6" t="s">
        <v>39</v>
      </c>
      <c r="I1150" s="8" t="s">
        <v>40</v>
      </c>
      <c r="J1150" s="9">
        <v>1</v>
      </c>
      <c r="K1150" s="9">
        <v>395</v>
      </c>
      <c r="L1150" s="9">
        <v>2025</v>
      </c>
      <c r="M1150" s="8" t="s">
        <v>7403</v>
      </c>
      <c r="N1150" s="8" t="s">
        <v>42</v>
      </c>
      <c r="O1150" s="8" t="s">
        <v>169</v>
      </c>
      <c r="P1150" s="6" t="s">
        <v>44</v>
      </c>
      <c r="Q1150" s="8" t="s">
        <v>45</v>
      </c>
      <c r="R1150" s="10" t="s">
        <v>7404</v>
      </c>
      <c r="S1150" s="11" t="s">
        <v>1106</v>
      </c>
      <c r="T1150" s="6"/>
      <c r="U1150" s="24" t="str">
        <f>HYPERLINK("https://media.infra-m.ru/2186/2186558/cover/2186558.jpg", "Обложка")</f>
        <v>Обложка</v>
      </c>
      <c r="V1150" s="24" t="str">
        <f>HYPERLINK("https://znanium.ru/catalog/product/2186558", "Ознакомиться")</f>
        <v>Ознакомиться</v>
      </c>
      <c r="W1150" s="8" t="s">
        <v>180</v>
      </c>
      <c r="X1150" s="6"/>
      <c r="Y1150" s="6"/>
      <c r="Z1150" s="6"/>
      <c r="AA1150" s="6" t="s">
        <v>191</v>
      </c>
      <c r="AB1150" s="8"/>
    </row>
    <row r="1151" spans="1:28" s="4" customFormat="1" ht="51.95" customHeight="1">
      <c r="A1151" s="5">
        <v>0</v>
      </c>
      <c r="B1151" s="6" t="s">
        <v>7405</v>
      </c>
      <c r="C1151" s="7">
        <v>1420</v>
      </c>
      <c r="D1151" s="8" t="s">
        <v>7406</v>
      </c>
      <c r="E1151" s="8" t="s">
        <v>7407</v>
      </c>
      <c r="F1151" s="8" t="s">
        <v>4529</v>
      </c>
      <c r="G1151" s="6" t="s">
        <v>38</v>
      </c>
      <c r="H1151" s="6" t="s">
        <v>54</v>
      </c>
      <c r="I1151" s="8" t="s">
        <v>40</v>
      </c>
      <c r="J1151" s="9">
        <v>1</v>
      </c>
      <c r="K1151" s="9">
        <v>271</v>
      </c>
      <c r="L1151" s="9">
        <v>2025</v>
      </c>
      <c r="M1151" s="8" t="s">
        <v>7408</v>
      </c>
      <c r="N1151" s="8" t="s">
        <v>42</v>
      </c>
      <c r="O1151" s="8" t="s">
        <v>169</v>
      </c>
      <c r="P1151" s="6" t="s">
        <v>58</v>
      </c>
      <c r="Q1151" s="8" t="s">
        <v>45</v>
      </c>
      <c r="R1151" s="10" t="s">
        <v>7409</v>
      </c>
      <c r="S1151" s="11" t="s">
        <v>7410</v>
      </c>
      <c r="T1151" s="6"/>
      <c r="U1151" s="24" t="str">
        <f>HYPERLINK("https://media.infra-m.ru/1934/1934003/cover/1934003.jpg", "Обложка")</f>
        <v>Обложка</v>
      </c>
      <c r="V1151" s="24" t="str">
        <f>HYPERLINK("https://znanium.ru/catalog/product/1934003", "Ознакомиться")</f>
        <v>Ознакомиться</v>
      </c>
      <c r="W1151" s="8" t="s">
        <v>4532</v>
      </c>
      <c r="X1151" s="6"/>
      <c r="Y1151" s="6"/>
      <c r="Z1151" s="6"/>
      <c r="AA1151" s="6" t="s">
        <v>84</v>
      </c>
      <c r="AB1151" s="8"/>
    </row>
    <row r="1152" spans="1:28" s="4" customFormat="1" ht="51.95" customHeight="1">
      <c r="A1152" s="5">
        <v>0</v>
      </c>
      <c r="B1152" s="6" t="s">
        <v>7411</v>
      </c>
      <c r="C1152" s="7">
        <v>1350</v>
      </c>
      <c r="D1152" s="8" t="s">
        <v>7412</v>
      </c>
      <c r="E1152" s="8" t="s">
        <v>7413</v>
      </c>
      <c r="F1152" s="8" t="s">
        <v>7414</v>
      </c>
      <c r="G1152" s="6" t="s">
        <v>38</v>
      </c>
      <c r="H1152" s="6" t="s">
        <v>54</v>
      </c>
      <c r="I1152" s="8" t="s">
        <v>40</v>
      </c>
      <c r="J1152" s="9">
        <v>1</v>
      </c>
      <c r="K1152" s="9">
        <v>248</v>
      </c>
      <c r="L1152" s="9">
        <v>2025</v>
      </c>
      <c r="M1152" s="8" t="s">
        <v>7415</v>
      </c>
      <c r="N1152" s="8" t="s">
        <v>42</v>
      </c>
      <c r="O1152" s="8" t="s">
        <v>169</v>
      </c>
      <c r="P1152" s="6" t="s">
        <v>44</v>
      </c>
      <c r="Q1152" s="8" t="s">
        <v>45</v>
      </c>
      <c r="R1152" s="10" t="s">
        <v>7416</v>
      </c>
      <c r="S1152" s="11"/>
      <c r="T1152" s="6"/>
      <c r="U1152" s="24" t="str">
        <f>HYPERLINK("https://media.infra-m.ru/2198/2198488/cover/2198488.jpg", "Обложка")</f>
        <v>Обложка</v>
      </c>
      <c r="V1152" s="24" t="str">
        <f>HYPERLINK("https://znanium.ru/catalog/product/2198488", "Ознакомиться")</f>
        <v>Ознакомиться</v>
      </c>
      <c r="W1152" s="8" t="s">
        <v>73</v>
      </c>
      <c r="X1152" s="6" t="s">
        <v>1400</v>
      </c>
      <c r="Y1152" s="6"/>
      <c r="Z1152" s="6"/>
      <c r="AA1152" s="6" t="s">
        <v>84</v>
      </c>
      <c r="AB1152" s="8"/>
    </row>
    <row r="1153" spans="1:28" s="4" customFormat="1" ht="51.95" customHeight="1">
      <c r="A1153" s="5">
        <v>0</v>
      </c>
      <c r="B1153" s="6" t="s">
        <v>7417</v>
      </c>
      <c r="C1153" s="7">
        <v>2340</v>
      </c>
      <c r="D1153" s="8" t="s">
        <v>7418</v>
      </c>
      <c r="E1153" s="8" t="s">
        <v>7419</v>
      </c>
      <c r="F1153" s="8" t="s">
        <v>7420</v>
      </c>
      <c r="G1153" s="6" t="s">
        <v>38</v>
      </c>
      <c r="H1153" s="6" t="s">
        <v>54</v>
      </c>
      <c r="I1153" s="8" t="s">
        <v>40</v>
      </c>
      <c r="J1153" s="9">
        <v>1</v>
      </c>
      <c r="K1153" s="9">
        <v>442</v>
      </c>
      <c r="L1153" s="9">
        <v>2026</v>
      </c>
      <c r="M1153" s="8" t="s">
        <v>7421</v>
      </c>
      <c r="N1153" s="8" t="s">
        <v>42</v>
      </c>
      <c r="O1153" s="8" t="s">
        <v>187</v>
      </c>
      <c r="P1153" s="6" t="s">
        <v>58</v>
      </c>
      <c r="Q1153" s="8" t="s">
        <v>45</v>
      </c>
      <c r="R1153" s="10" t="s">
        <v>7422</v>
      </c>
      <c r="S1153" s="11" t="s">
        <v>7423</v>
      </c>
      <c r="T1153" s="6"/>
      <c r="U1153" s="24" t="str">
        <f>HYPERLINK("https://media.infra-m.ru/2215/2215382/cover/2215382.jpg", "Обложка")</f>
        <v>Обложка</v>
      </c>
      <c r="V1153" s="24" t="str">
        <f>HYPERLINK("https://znanium.ru/catalog/product/2215382", "Ознакомиться")</f>
        <v>Ознакомиться</v>
      </c>
      <c r="W1153" s="8" t="s">
        <v>190</v>
      </c>
      <c r="X1153" s="6"/>
      <c r="Y1153" s="6"/>
      <c r="Z1153" s="6"/>
      <c r="AA1153" s="6" t="s">
        <v>1526</v>
      </c>
      <c r="AB1153" s="8"/>
    </row>
    <row r="1154" spans="1:28" s="4" customFormat="1" ht="51.95" customHeight="1">
      <c r="A1154" s="5">
        <v>0</v>
      </c>
      <c r="B1154" s="6" t="s">
        <v>7424</v>
      </c>
      <c r="C1154" s="7">
        <v>1494</v>
      </c>
      <c r="D1154" s="8" t="s">
        <v>7425</v>
      </c>
      <c r="E1154" s="8" t="s">
        <v>7426</v>
      </c>
      <c r="F1154" s="8" t="s">
        <v>7427</v>
      </c>
      <c r="G1154" s="6" t="s">
        <v>38</v>
      </c>
      <c r="H1154" s="6" t="s">
        <v>39</v>
      </c>
      <c r="I1154" s="8" t="s">
        <v>69</v>
      </c>
      <c r="J1154" s="9">
        <v>1</v>
      </c>
      <c r="K1154" s="9">
        <v>288</v>
      </c>
      <c r="L1154" s="9">
        <v>2025</v>
      </c>
      <c r="M1154" s="8" t="s">
        <v>7428</v>
      </c>
      <c r="N1154" s="8" t="s">
        <v>42</v>
      </c>
      <c r="O1154" s="8" t="s">
        <v>169</v>
      </c>
      <c r="P1154" s="6" t="s">
        <v>44</v>
      </c>
      <c r="Q1154" s="8" t="s">
        <v>45</v>
      </c>
      <c r="R1154" s="10" t="s">
        <v>7429</v>
      </c>
      <c r="S1154" s="11" t="s">
        <v>2555</v>
      </c>
      <c r="T1154" s="6"/>
      <c r="U1154" s="24" t="str">
        <f>HYPERLINK("https://media.infra-m.ru/2193/2193090/cover/2193090.jpg", "Обложка")</f>
        <v>Обложка</v>
      </c>
      <c r="V1154" s="24" t="str">
        <f>HYPERLINK("https://znanium.ru/catalog/product/1088223", "Ознакомиться")</f>
        <v>Ознакомиться</v>
      </c>
      <c r="W1154" s="8" t="s">
        <v>172</v>
      </c>
      <c r="X1154" s="6"/>
      <c r="Y1154" s="6"/>
      <c r="Z1154" s="6"/>
      <c r="AA1154" s="6" t="s">
        <v>835</v>
      </c>
      <c r="AB1154" s="8"/>
    </row>
    <row r="1155" spans="1:28" s="4" customFormat="1" ht="51.95" customHeight="1">
      <c r="A1155" s="5">
        <v>0</v>
      </c>
      <c r="B1155" s="6" t="s">
        <v>7430</v>
      </c>
      <c r="C1155" s="7">
        <v>1124</v>
      </c>
      <c r="D1155" s="8" t="s">
        <v>7431</v>
      </c>
      <c r="E1155" s="8" t="s">
        <v>7432</v>
      </c>
      <c r="F1155" s="8" t="s">
        <v>7433</v>
      </c>
      <c r="G1155" s="6" t="s">
        <v>38</v>
      </c>
      <c r="H1155" s="6" t="s">
        <v>54</v>
      </c>
      <c r="I1155" s="8" t="s">
        <v>40</v>
      </c>
      <c r="J1155" s="9">
        <v>1</v>
      </c>
      <c r="K1155" s="9">
        <v>244</v>
      </c>
      <c r="L1155" s="9">
        <v>2023</v>
      </c>
      <c r="M1155" s="8" t="s">
        <v>7434</v>
      </c>
      <c r="N1155" s="8" t="s">
        <v>42</v>
      </c>
      <c r="O1155" s="8" t="s">
        <v>1370</v>
      </c>
      <c r="P1155" s="6" t="s">
        <v>44</v>
      </c>
      <c r="Q1155" s="8" t="s">
        <v>45</v>
      </c>
      <c r="R1155" s="10" t="s">
        <v>7435</v>
      </c>
      <c r="S1155" s="11" t="s">
        <v>7436</v>
      </c>
      <c r="T1155" s="6"/>
      <c r="U1155" s="24" t="str">
        <f>HYPERLINK("https://media.infra-m.ru/1976/1976190/cover/1976190.jpg", "Обложка")</f>
        <v>Обложка</v>
      </c>
      <c r="V1155" s="24" t="str">
        <f>HYPERLINK("https://znanium.ru/catalog/product/1021725", "Ознакомиться")</f>
        <v>Ознакомиться</v>
      </c>
      <c r="W1155" s="8" t="s">
        <v>3749</v>
      </c>
      <c r="X1155" s="6"/>
      <c r="Y1155" s="6"/>
      <c r="Z1155" s="6" t="s">
        <v>48</v>
      </c>
      <c r="AA1155" s="6" t="s">
        <v>111</v>
      </c>
      <c r="AB1155" s="8"/>
    </row>
    <row r="1156" spans="1:28" s="4" customFormat="1" ht="42" customHeight="1">
      <c r="A1156" s="5">
        <v>0</v>
      </c>
      <c r="B1156" s="6" t="s">
        <v>7437</v>
      </c>
      <c r="C1156" s="7">
        <v>2250</v>
      </c>
      <c r="D1156" s="8" t="s">
        <v>7438</v>
      </c>
      <c r="E1156" s="8" t="s">
        <v>7439</v>
      </c>
      <c r="F1156" s="8" t="s">
        <v>2420</v>
      </c>
      <c r="G1156" s="6" t="s">
        <v>38</v>
      </c>
      <c r="H1156" s="6" t="s">
        <v>54</v>
      </c>
      <c r="I1156" s="8" t="s">
        <v>40</v>
      </c>
      <c r="J1156" s="9">
        <v>1</v>
      </c>
      <c r="K1156" s="9">
        <v>475</v>
      </c>
      <c r="L1156" s="9">
        <v>2024</v>
      </c>
      <c r="M1156" s="8" t="s">
        <v>7440</v>
      </c>
      <c r="N1156" s="8" t="s">
        <v>42</v>
      </c>
      <c r="O1156" s="8" t="s">
        <v>169</v>
      </c>
      <c r="P1156" s="6" t="s">
        <v>44</v>
      </c>
      <c r="Q1156" s="8" t="s">
        <v>45</v>
      </c>
      <c r="R1156" s="10" t="s">
        <v>1990</v>
      </c>
      <c r="S1156" s="11"/>
      <c r="T1156" s="6"/>
      <c r="U1156" s="24" t="str">
        <f>HYPERLINK("https://media.infra-m.ru/1031/1031596/cover/1031596.jpg", "Обложка")</f>
        <v>Обложка</v>
      </c>
      <c r="V1156" s="24" t="str">
        <f>HYPERLINK("https://znanium.ru/catalog/product/1031596", "Ознакомиться")</f>
        <v>Ознакомиться</v>
      </c>
      <c r="W1156" s="8" t="s">
        <v>2423</v>
      </c>
      <c r="X1156" s="6"/>
      <c r="Y1156" s="6"/>
      <c r="Z1156" s="6"/>
      <c r="AA1156" s="6" t="s">
        <v>49</v>
      </c>
      <c r="AB1156" s="8"/>
    </row>
    <row r="1157" spans="1:28" s="4" customFormat="1" ht="51.95" customHeight="1">
      <c r="A1157" s="5">
        <v>0</v>
      </c>
      <c r="B1157" s="6" t="s">
        <v>7441</v>
      </c>
      <c r="C1157" s="7">
        <v>2084</v>
      </c>
      <c r="D1157" s="8" t="s">
        <v>7442</v>
      </c>
      <c r="E1157" s="8" t="s">
        <v>7443</v>
      </c>
      <c r="F1157" s="8" t="s">
        <v>7444</v>
      </c>
      <c r="G1157" s="6" t="s">
        <v>90</v>
      </c>
      <c r="H1157" s="6" t="s">
        <v>299</v>
      </c>
      <c r="I1157" s="8" t="s">
        <v>40</v>
      </c>
      <c r="J1157" s="9">
        <v>1</v>
      </c>
      <c r="K1157" s="9">
        <v>400</v>
      </c>
      <c r="L1157" s="9">
        <v>2026</v>
      </c>
      <c r="M1157" s="8" t="s">
        <v>7445</v>
      </c>
      <c r="N1157" s="8" t="s">
        <v>42</v>
      </c>
      <c r="O1157" s="8" t="s">
        <v>43</v>
      </c>
      <c r="P1157" s="6" t="s">
        <v>44</v>
      </c>
      <c r="Q1157" s="8" t="s">
        <v>45</v>
      </c>
      <c r="R1157" s="10" t="s">
        <v>6732</v>
      </c>
      <c r="S1157" s="11" t="s">
        <v>5942</v>
      </c>
      <c r="T1157" s="6"/>
      <c r="U1157" s="24" t="str">
        <f>HYPERLINK("https://media.infra-m.ru/2220/2220289/cover/2220289.jpg", "Обложка")</f>
        <v>Обложка</v>
      </c>
      <c r="V1157" s="24" t="str">
        <f>HYPERLINK("https://znanium.ru/catalog/product/2212387", "Ознакомиться")</f>
        <v>Ознакомиться</v>
      </c>
      <c r="W1157" s="8" t="s">
        <v>834</v>
      </c>
      <c r="X1157" s="6"/>
      <c r="Y1157" s="6" t="s">
        <v>30</v>
      </c>
      <c r="Z1157" s="6" t="s">
        <v>48</v>
      </c>
      <c r="AA1157" s="6" t="s">
        <v>129</v>
      </c>
      <c r="AB1157" s="8"/>
    </row>
    <row r="1158" spans="1:28" s="4" customFormat="1" ht="51.95" customHeight="1">
      <c r="A1158" s="5">
        <v>0</v>
      </c>
      <c r="B1158" s="6" t="s">
        <v>7446</v>
      </c>
      <c r="C1158" s="7">
        <v>1260</v>
      </c>
      <c r="D1158" s="8" t="s">
        <v>7447</v>
      </c>
      <c r="E1158" s="8" t="s">
        <v>7448</v>
      </c>
      <c r="F1158" s="8" t="s">
        <v>7449</v>
      </c>
      <c r="G1158" s="6" t="s">
        <v>90</v>
      </c>
      <c r="H1158" s="6" t="s">
        <v>54</v>
      </c>
      <c r="I1158" s="8" t="s">
        <v>40</v>
      </c>
      <c r="J1158" s="9">
        <v>1</v>
      </c>
      <c r="K1158" s="9">
        <v>250</v>
      </c>
      <c r="L1158" s="9">
        <v>2025</v>
      </c>
      <c r="M1158" s="8" t="s">
        <v>7450</v>
      </c>
      <c r="N1158" s="8" t="s">
        <v>42</v>
      </c>
      <c r="O1158" s="8" t="s">
        <v>187</v>
      </c>
      <c r="P1158" s="6" t="s">
        <v>44</v>
      </c>
      <c r="Q1158" s="8" t="s">
        <v>45</v>
      </c>
      <c r="R1158" s="10" t="s">
        <v>7451</v>
      </c>
      <c r="S1158" s="11" t="s">
        <v>7452</v>
      </c>
      <c r="T1158" s="6"/>
      <c r="U1158" s="24" t="str">
        <f>HYPERLINK("https://media.infra-m.ru/2179/2179470/cover/2179470.jpg", "Обложка")</f>
        <v>Обложка</v>
      </c>
      <c r="V1158" s="24" t="str">
        <f>HYPERLINK("https://znanium.ru/catalog/product/2179470", "Ознакомиться")</f>
        <v>Ознакомиться</v>
      </c>
      <c r="W1158" s="8" t="s">
        <v>7453</v>
      </c>
      <c r="X1158" s="6"/>
      <c r="Y1158" s="6"/>
      <c r="Z1158" s="6"/>
      <c r="AA1158" s="6" t="s">
        <v>3514</v>
      </c>
      <c r="AB1158" s="8"/>
    </row>
    <row r="1159" spans="1:28" s="4" customFormat="1" ht="51.95" customHeight="1">
      <c r="A1159" s="5">
        <v>0</v>
      </c>
      <c r="B1159" s="6" t="s">
        <v>7454</v>
      </c>
      <c r="C1159" s="7">
        <v>1154</v>
      </c>
      <c r="D1159" s="8" t="s">
        <v>7455</v>
      </c>
      <c r="E1159" s="8" t="s">
        <v>7456</v>
      </c>
      <c r="F1159" s="8" t="s">
        <v>7457</v>
      </c>
      <c r="G1159" s="6" t="s">
        <v>90</v>
      </c>
      <c r="H1159" s="6" t="s">
        <v>54</v>
      </c>
      <c r="I1159" s="8" t="s">
        <v>40</v>
      </c>
      <c r="J1159" s="9">
        <v>1</v>
      </c>
      <c r="K1159" s="9">
        <v>246</v>
      </c>
      <c r="L1159" s="9">
        <v>2024</v>
      </c>
      <c r="M1159" s="8" t="s">
        <v>7458</v>
      </c>
      <c r="N1159" s="8" t="s">
        <v>42</v>
      </c>
      <c r="O1159" s="8" t="s">
        <v>319</v>
      </c>
      <c r="P1159" s="6" t="s">
        <v>44</v>
      </c>
      <c r="Q1159" s="8" t="s">
        <v>45</v>
      </c>
      <c r="R1159" s="10" t="s">
        <v>7459</v>
      </c>
      <c r="S1159" s="11" t="s">
        <v>7460</v>
      </c>
      <c r="T1159" s="6"/>
      <c r="U1159" s="24" t="str">
        <f>HYPERLINK("https://media.infra-m.ru/2137/2137111/cover/2137111.jpg", "Обложка")</f>
        <v>Обложка</v>
      </c>
      <c r="V1159" s="24" t="str">
        <f>HYPERLINK("https://znanium.ru/catalog/product/1322318", "Ознакомиться")</f>
        <v>Ознакомиться</v>
      </c>
      <c r="W1159" s="8" t="s">
        <v>4743</v>
      </c>
      <c r="X1159" s="6"/>
      <c r="Y1159" s="6"/>
      <c r="Z1159" s="6" t="s">
        <v>48</v>
      </c>
      <c r="AA1159" s="6" t="s">
        <v>223</v>
      </c>
      <c r="AB1159" s="8"/>
    </row>
    <row r="1160" spans="1:28" s="4" customFormat="1" ht="51.95" customHeight="1">
      <c r="A1160" s="5">
        <v>0</v>
      </c>
      <c r="B1160" s="6" t="s">
        <v>7461</v>
      </c>
      <c r="C1160" s="7">
        <v>1420</v>
      </c>
      <c r="D1160" s="8" t="s">
        <v>7462</v>
      </c>
      <c r="E1160" s="8" t="s">
        <v>7463</v>
      </c>
      <c r="F1160" s="8" t="s">
        <v>7464</v>
      </c>
      <c r="G1160" s="6" t="s">
        <v>90</v>
      </c>
      <c r="H1160" s="6" t="s">
        <v>54</v>
      </c>
      <c r="I1160" s="8" t="s">
        <v>40</v>
      </c>
      <c r="J1160" s="9">
        <v>1</v>
      </c>
      <c r="K1160" s="9">
        <v>373</v>
      </c>
      <c r="L1160" s="9">
        <v>2022</v>
      </c>
      <c r="M1160" s="8" t="s">
        <v>7465</v>
      </c>
      <c r="N1160" s="8" t="s">
        <v>42</v>
      </c>
      <c r="O1160" s="8" t="s">
        <v>169</v>
      </c>
      <c r="P1160" s="6" t="s">
        <v>44</v>
      </c>
      <c r="Q1160" s="8" t="s">
        <v>45</v>
      </c>
      <c r="R1160" s="10" t="s">
        <v>7466</v>
      </c>
      <c r="S1160" s="11" t="s">
        <v>7467</v>
      </c>
      <c r="T1160" s="6"/>
      <c r="U1160" s="24" t="str">
        <f>HYPERLINK("https://media.infra-m.ru/1860/1860079/cover/1860079.jpg", "Обложка")</f>
        <v>Обложка</v>
      </c>
      <c r="V1160" s="24" t="str">
        <f>HYPERLINK("https://znanium.ru/catalog/product/1860079", "Ознакомиться")</f>
        <v>Ознакомиться</v>
      </c>
      <c r="W1160" s="8" t="s">
        <v>593</v>
      </c>
      <c r="X1160" s="6"/>
      <c r="Y1160" s="6"/>
      <c r="Z1160" s="6"/>
      <c r="AA1160" s="6" t="s">
        <v>740</v>
      </c>
      <c r="AB1160" s="8"/>
    </row>
    <row r="1161" spans="1:28" s="4" customFormat="1" ht="42" customHeight="1">
      <c r="A1161" s="5">
        <v>0</v>
      </c>
      <c r="B1161" s="6" t="s">
        <v>7468</v>
      </c>
      <c r="C1161" s="7">
        <v>1780</v>
      </c>
      <c r="D1161" s="8" t="s">
        <v>7469</v>
      </c>
      <c r="E1161" s="8" t="s">
        <v>7470</v>
      </c>
      <c r="F1161" s="8" t="s">
        <v>7471</v>
      </c>
      <c r="G1161" s="6" t="s">
        <v>90</v>
      </c>
      <c r="H1161" s="6" t="s">
        <v>54</v>
      </c>
      <c r="I1161" s="8" t="s">
        <v>40</v>
      </c>
      <c r="J1161" s="9">
        <v>1</v>
      </c>
      <c r="K1161" s="9">
        <v>342</v>
      </c>
      <c r="L1161" s="9">
        <v>2025</v>
      </c>
      <c r="M1161" s="8" t="s">
        <v>7472</v>
      </c>
      <c r="N1161" s="8" t="s">
        <v>125</v>
      </c>
      <c r="O1161" s="8" t="s">
        <v>432</v>
      </c>
      <c r="P1161" s="6" t="s">
        <v>58</v>
      </c>
      <c r="Q1161" s="8" t="s">
        <v>45</v>
      </c>
      <c r="R1161" s="10" t="s">
        <v>908</v>
      </c>
      <c r="S1161" s="11"/>
      <c r="T1161" s="6"/>
      <c r="U1161" s="24" t="str">
        <f>HYPERLINK("https://media.infra-m.ru/2187/2187010/cover/2187010.jpg", "Обложка")</f>
        <v>Обложка</v>
      </c>
      <c r="V1161" s="24" t="str">
        <f>HYPERLINK("https://znanium.ru/catalog/product/1870567", "Ознакомиться")</f>
        <v>Ознакомиться</v>
      </c>
      <c r="W1161" s="8" t="s">
        <v>2180</v>
      </c>
      <c r="X1161" s="6"/>
      <c r="Y1161" s="6"/>
      <c r="Z1161" s="6"/>
      <c r="AA1161" s="6" t="s">
        <v>354</v>
      </c>
      <c r="AB1161" s="8" t="s">
        <v>648</v>
      </c>
    </row>
    <row r="1162" spans="1:28" s="4" customFormat="1" ht="51.95" customHeight="1">
      <c r="A1162" s="5">
        <v>0</v>
      </c>
      <c r="B1162" s="6" t="s">
        <v>7473</v>
      </c>
      <c r="C1162" s="7">
        <v>1974</v>
      </c>
      <c r="D1162" s="8" t="s">
        <v>7474</v>
      </c>
      <c r="E1162" s="8" t="s">
        <v>7475</v>
      </c>
      <c r="F1162" s="8" t="s">
        <v>7476</v>
      </c>
      <c r="G1162" s="6" t="s">
        <v>38</v>
      </c>
      <c r="H1162" s="6" t="s">
        <v>54</v>
      </c>
      <c r="I1162" s="8" t="s">
        <v>40</v>
      </c>
      <c r="J1162" s="9">
        <v>1</v>
      </c>
      <c r="K1162" s="9">
        <v>395</v>
      </c>
      <c r="L1162" s="9">
        <v>2025</v>
      </c>
      <c r="M1162" s="8" t="s">
        <v>7477</v>
      </c>
      <c r="N1162" s="8" t="s">
        <v>42</v>
      </c>
      <c r="O1162" s="8" t="s">
        <v>187</v>
      </c>
      <c r="P1162" s="6" t="s">
        <v>58</v>
      </c>
      <c r="Q1162" s="8" t="s">
        <v>45</v>
      </c>
      <c r="R1162" s="10" t="s">
        <v>2397</v>
      </c>
      <c r="S1162" s="11" t="s">
        <v>7478</v>
      </c>
      <c r="T1162" s="6"/>
      <c r="U1162" s="24" t="str">
        <f>HYPERLINK("https://media.infra-m.ru/2187/2187624/cover/2187624.jpg", "Обложка")</f>
        <v>Обложка</v>
      </c>
      <c r="V1162" s="24" t="str">
        <f>HYPERLINK("https://znanium.ru/catalog/product/1864130", "Ознакомиться")</f>
        <v>Ознакомиться</v>
      </c>
      <c r="W1162" s="8" t="s">
        <v>1631</v>
      </c>
      <c r="X1162" s="6"/>
      <c r="Y1162" s="6"/>
      <c r="Z1162" s="6" t="s">
        <v>48</v>
      </c>
      <c r="AA1162" s="6" t="s">
        <v>223</v>
      </c>
      <c r="AB1162" s="8"/>
    </row>
    <row r="1163" spans="1:28" s="4" customFormat="1" ht="42" customHeight="1">
      <c r="A1163" s="5">
        <v>0</v>
      </c>
      <c r="B1163" s="6" t="s">
        <v>7479</v>
      </c>
      <c r="C1163" s="7">
        <v>1664</v>
      </c>
      <c r="D1163" s="8" t="s">
        <v>7480</v>
      </c>
      <c r="E1163" s="8" t="s">
        <v>7481</v>
      </c>
      <c r="F1163" s="8" t="s">
        <v>3553</v>
      </c>
      <c r="G1163" s="6" t="s">
        <v>38</v>
      </c>
      <c r="H1163" s="6" t="s">
        <v>299</v>
      </c>
      <c r="I1163" s="8" t="s">
        <v>69</v>
      </c>
      <c r="J1163" s="9">
        <v>1</v>
      </c>
      <c r="K1163" s="9">
        <v>320</v>
      </c>
      <c r="L1163" s="9">
        <v>2025</v>
      </c>
      <c r="M1163" s="8" t="s">
        <v>7482</v>
      </c>
      <c r="N1163" s="8" t="s">
        <v>42</v>
      </c>
      <c r="O1163" s="8" t="s">
        <v>169</v>
      </c>
      <c r="P1163" s="6" t="s">
        <v>58</v>
      </c>
      <c r="Q1163" s="8" t="s">
        <v>45</v>
      </c>
      <c r="R1163" s="10" t="s">
        <v>7483</v>
      </c>
      <c r="S1163" s="11"/>
      <c r="T1163" s="6"/>
      <c r="U1163" s="24" t="str">
        <f>HYPERLINK("https://media.infra-m.ru/2186/2186878/cover/2186878.jpg", "Обложка")</f>
        <v>Обложка</v>
      </c>
      <c r="V1163" s="24" t="str">
        <f>HYPERLINK("https://znanium.ru/catalog/product/1003234", "Ознакомиться")</f>
        <v>Ознакомиться</v>
      </c>
      <c r="W1163" s="8" t="s">
        <v>172</v>
      </c>
      <c r="X1163" s="6"/>
      <c r="Y1163" s="6"/>
      <c r="Z1163" s="6"/>
      <c r="AA1163" s="6" t="s">
        <v>7484</v>
      </c>
      <c r="AB1163" s="8"/>
    </row>
    <row r="1164" spans="1:28" s="4" customFormat="1" ht="51.95" customHeight="1">
      <c r="A1164" s="5">
        <v>0</v>
      </c>
      <c r="B1164" s="6" t="s">
        <v>7485</v>
      </c>
      <c r="C1164" s="7">
        <v>1320</v>
      </c>
      <c r="D1164" s="8" t="s">
        <v>7486</v>
      </c>
      <c r="E1164" s="8" t="s">
        <v>7487</v>
      </c>
      <c r="F1164" s="8" t="s">
        <v>3181</v>
      </c>
      <c r="G1164" s="6" t="s">
        <v>38</v>
      </c>
      <c r="H1164" s="6" t="s">
        <v>54</v>
      </c>
      <c r="I1164" s="8" t="s">
        <v>40</v>
      </c>
      <c r="J1164" s="9">
        <v>1</v>
      </c>
      <c r="K1164" s="9">
        <v>346</v>
      </c>
      <c r="L1164" s="9">
        <v>2022</v>
      </c>
      <c r="M1164" s="8" t="s">
        <v>7488</v>
      </c>
      <c r="N1164" s="8" t="s">
        <v>125</v>
      </c>
      <c r="O1164" s="8" t="s">
        <v>126</v>
      </c>
      <c r="P1164" s="6" t="s">
        <v>44</v>
      </c>
      <c r="Q1164" s="8" t="s">
        <v>45</v>
      </c>
      <c r="R1164" s="10" t="s">
        <v>660</v>
      </c>
      <c r="S1164" s="11" t="s">
        <v>7489</v>
      </c>
      <c r="T1164" s="6"/>
      <c r="U1164" s="24" t="str">
        <f>HYPERLINK("https://media.infra-m.ru/1850/1850731/cover/1850731.jpg", "Обложка")</f>
        <v>Обложка</v>
      </c>
      <c r="V1164" s="24" t="str">
        <f>HYPERLINK("https://znanium.ru/catalog/product/1850731", "Ознакомиться")</f>
        <v>Ознакомиться</v>
      </c>
      <c r="W1164" s="8" t="s">
        <v>94</v>
      </c>
      <c r="X1164" s="6"/>
      <c r="Y1164" s="6"/>
      <c r="Z1164" s="6" t="s">
        <v>48</v>
      </c>
      <c r="AA1164" s="6" t="s">
        <v>500</v>
      </c>
      <c r="AB1164" s="8"/>
    </row>
    <row r="1165" spans="1:28" s="4" customFormat="1" ht="51.95" customHeight="1">
      <c r="A1165" s="5">
        <v>0</v>
      </c>
      <c r="B1165" s="6" t="s">
        <v>7490</v>
      </c>
      <c r="C1165" s="7">
        <v>2504</v>
      </c>
      <c r="D1165" s="8" t="s">
        <v>7491</v>
      </c>
      <c r="E1165" s="8" t="s">
        <v>7492</v>
      </c>
      <c r="F1165" s="8" t="s">
        <v>7493</v>
      </c>
      <c r="G1165" s="6" t="s">
        <v>38</v>
      </c>
      <c r="H1165" s="6" t="s">
        <v>39</v>
      </c>
      <c r="I1165" s="8"/>
      <c r="J1165" s="9">
        <v>1</v>
      </c>
      <c r="K1165" s="9">
        <v>432</v>
      </c>
      <c r="L1165" s="9">
        <v>2025</v>
      </c>
      <c r="M1165" s="8" t="s">
        <v>7494</v>
      </c>
      <c r="N1165" s="8" t="s">
        <v>42</v>
      </c>
      <c r="O1165" s="8" t="s">
        <v>169</v>
      </c>
      <c r="P1165" s="6" t="s">
        <v>44</v>
      </c>
      <c r="Q1165" s="8" t="s">
        <v>45</v>
      </c>
      <c r="R1165" s="10" t="s">
        <v>2658</v>
      </c>
      <c r="S1165" s="11" t="s">
        <v>1391</v>
      </c>
      <c r="T1165" s="6"/>
      <c r="U1165" s="24" t="str">
        <f>HYPERLINK("https://media.infra-m.ru/2178/2178737/cover/2178737.jpg", "Обложка")</f>
        <v>Обложка</v>
      </c>
      <c r="V1165" s="12"/>
      <c r="W1165" s="8" t="s">
        <v>172</v>
      </c>
      <c r="X1165" s="6"/>
      <c r="Y1165" s="6"/>
      <c r="Z1165" s="6"/>
      <c r="AA1165" s="6" t="s">
        <v>304</v>
      </c>
      <c r="AB1165" s="8"/>
    </row>
    <row r="1166" spans="1:28" s="4" customFormat="1" ht="51.95" customHeight="1">
      <c r="A1166" s="5">
        <v>0</v>
      </c>
      <c r="B1166" s="6" t="s">
        <v>7495</v>
      </c>
      <c r="C1166" s="7">
        <v>1674</v>
      </c>
      <c r="D1166" s="8" t="s">
        <v>7496</v>
      </c>
      <c r="E1166" s="8" t="s">
        <v>7497</v>
      </c>
      <c r="F1166" s="8" t="s">
        <v>7498</v>
      </c>
      <c r="G1166" s="6" t="s">
        <v>90</v>
      </c>
      <c r="H1166" s="6" t="s">
        <v>299</v>
      </c>
      <c r="I1166" s="8" t="s">
        <v>40</v>
      </c>
      <c r="J1166" s="9">
        <v>1</v>
      </c>
      <c r="K1166" s="9">
        <v>304</v>
      </c>
      <c r="L1166" s="9">
        <v>2026</v>
      </c>
      <c r="M1166" s="8" t="s">
        <v>7499</v>
      </c>
      <c r="N1166" s="8" t="s">
        <v>42</v>
      </c>
      <c r="O1166" s="8" t="s">
        <v>169</v>
      </c>
      <c r="P1166" s="6" t="s">
        <v>44</v>
      </c>
      <c r="Q1166" s="8" t="s">
        <v>45</v>
      </c>
      <c r="R1166" s="10" t="s">
        <v>7500</v>
      </c>
      <c r="S1166" s="11" t="s">
        <v>3434</v>
      </c>
      <c r="T1166" s="6"/>
      <c r="U1166" s="24" t="str">
        <f>HYPERLINK("https://media.infra-m.ru/2226/2226639/cover/2226639.jpg", "Обложка")</f>
        <v>Обложка</v>
      </c>
      <c r="V1166" s="24" t="str">
        <f>HYPERLINK("https://znanium.ru/catalog/product/2143487", "Ознакомиться")</f>
        <v>Ознакомиться</v>
      </c>
      <c r="W1166" s="8" t="s">
        <v>850</v>
      </c>
      <c r="X1166" s="6"/>
      <c r="Y1166" s="6"/>
      <c r="Z1166" s="6" t="s">
        <v>48</v>
      </c>
      <c r="AA1166" s="6" t="s">
        <v>111</v>
      </c>
      <c r="AB1166" s="8"/>
    </row>
    <row r="1167" spans="1:28" s="4" customFormat="1" ht="51.95" customHeight="1">
      <c r="A1167" s="5">
        <v>0</v>
      </c>
      <c r="B1167" s="6" t="s">
        <v>7501</v>
      </c>
      <c r="C1167" s="7">
        <v>1934</v>
      </c>
      <c r="D1167" s="8" t="s">
        <v>7502</v>
      </c>
      <c r="E1167" s="8" t="s">
        <v>7503</v>
      </c>
      <c r="F1167" s="8" t="s">
        <v>7504</v>
      </c>
      <c r="G1167" s="6" t="s">
        <v>90</v>
      </c>
      <c r="H1167" s="6" t="s">
        <v>54</v>
      </c>
      <c r="I1167" s="8" t="s">
        <v>40</v>
      </c>
      <c r="J1167" s="9">
        <v>1</v>
      </c>
      <c r="K1167" s="9">
        <v>352</v>
      </c>
      <c r="L1167" s="9">
        <v>2026</v>
      </c>
      <c r="M1167" s="8" t="s">
        <v>7505</v>
      </c>
      <c r="N1167" s="8" t="s">
        <v>42</v>
      </c>
      <c r="O1167" s="8" t="s">
        <v>169</v>
      </c>
      <c r="P1167" s="6" t="s">
        <v>44</v>
      </c>
      <c r="Q1167" s="8" t="s">
        <v>45</v>
      </c>
      <c r="R1167" s="10" t="s">
        <v>7506</v>
      </c>
      <c r="S1167" s="11" t="s">
        <v>7507</v>
      </c>
      <c r="T1167" s="6"/>
      <c r="U1167" s="24" t="str">
        <f>HYPERLINK("https://media.infra-m.ru/2224/2224186/cover/2224186.jpg", "Обложка")</f>
        <v>Обложка</v>
      </c>
      <c r="V1167" s="24" t="str">
        <f>HYPERLINK("https://znanium.ru/catalog/product/1743578", "Ознакомиться")</f>
        <v>Ознакомиться</v>
      </c>
      <c r="W1167" s="8" t="s">
        <v>180</v>
      </c>
      <c r="X1167" s="6"/>
      <c r="Y1167" s="6"/>
      <c r="Z1167" s="6"/>
      <c r="AA1167" s="6" t="s">
        <v>1547</v>
      </c>
      <c r="AB1167" s="8"/>
    </row>
    <row r="1168" spans="1:28" s="4" customFormat="1" ht="51.95" customHeight="1">
      <c r="A1168" s="5">
        <v>0</v>
      </c>
      <c r="B1168" s="6" t="s">
        <v>7508</v>
      </c>
      <c r="C1168" s="7">
        <v>1850</v>
      </c>
      <c r="D1168" s="8" t="s">
        <v>7509</v>
      </c>
      <c r="E1168" s="8" t="s">
        <v>7510</v>
      </c>
      <c r="F1168" s="8" t="s">
        <v>6693</v>
      </c>
      <c r="G1168" s="6" t="s">
        <v>90</v>
      </c>
      <c r="H1168" s="6" t="s">
        <v>39</v>
      </c>
      <c r="I1168" s="8" t="s">
        <v>69</v>
      </c>
      <c r="J1168" s="9">
        <v>1</v>
      </c>
      <c r="K1168" s="9">
        <v>352</v>
      </c>
      <c r="L1168" s="9">
        <v>2026</v>
      </c>
      <c r="M1168" s="8" t="s">
        <v>7511</v>
      </c>
      <c r="N1168" s="8" t="s">
        <v>42</v>
      </c>
      <c r="O1168" s="8" t="s">
        <v>169</v>
      </c>
      <c r="P1168" s="6" t="s">
        <v>44</v>
      </c>
      <c r="Q1168" s="8" t="s">
        <v>45</v>
      </c>
      <c r="R1168" s="10" t="s">
        <v>7512</v>
      </c>
      <c r="S1168" s="11" t="s">
        <v>7513</v>
      </c>
      <c r="T1168" s="6"/>
      <c r="U1168" s="24" t="str">
        <f>HYPERLINK("https://media.infra-m.ru/2214/2214737/cover/2214737.jpg", "Обложка")</f>
        <v>Обложка</v>
      </c>
      <c r="V1168" s="24" t="str">
        <f>HYPERLINK("https://znanium.ru/catalog/product/2214737", "Ознакомиться")</f>
        <v>Ознакомиться</v>
      </c>
      <c r="W1168" s="8" t="s">
        <v>180</v>
      </c>
      <c r="X1168" s="6"/>
      <c r="Y1168" s="6" t="s">
        <v>30</v>
      </c>
      <c r="Z1168" s="6"/>
      <c r="AA1168" s="6" t="s">
        <v>1798</v>
      </c>
      <c r="AB1168" s="8"/>
    </row>
    <row r="1169" spans="1:28" s="4" customFormat="1" ht="51.95" customHeight="1">
      <c r="A1169" s="5">
        <v>0</v>
      </c>
      <c r="B1169" s="6" t="s">
        <v>7514</v>
      </c>
      <c r="C1169" s="13">
        <v>914.9</v>
      </c>
      <c r="D1169" s="8" t="s">
        <v>7515</v>
      </c>
      <c r="E1169" s="8" t="s">
        <v>7516</v>
      </c>
      <c r="F1169" s="8" t="s">
        <v>424</v>
      </c>
      <c r="G1169" s="6" t="s">
        <v>38</v>
      </c>
      <c r="H1169" s="6" t="s">
        <v>39</v>
      </c>
      <c r="I1169" s="8"/>
      <c r="J1169" s="9">
        <v>1</v>
      </c>
      <c r="K1169" s="9">
        <v>352</v>
      </c>
      <c r="L1169" s="9">
        <v>2017</v>
      </c>
      <c r="M1169" s="8" t="s">
        <v>7517</v>
      </c>
      <c r="N1169" s="8" t="s">
        <v>42</v>
      </c>
      <c r="O1169" s="8" t="s">
        <v>169</v>
      </c>
      <c r="P1169" s="6" t="s">
        <v>58</v>
      </c>
      <c r="Q1169" s="8" t="s">
        <v>45</v>
      </c>
      <c r="R1169" s="10" t="s">
        <v>7518</v>
      </c>
      <c r="S1169" s="11" t="s">
        <v>7519</v>
      </c>
      <c r="T1169" s="6"/>
      <c r="U1169" s="24" t="str">
        <f>HYPERLINK("https://media.infra-m.ru/0908/0908572/cover/908572.jpg", "Обложка")</f>
        <v>Обложка</v>
      </c>
      <c r="V1169" s="24" t="str">
        <f>HYPERLINK("https://znanium.ru/catalog/product/2022257", "Ознакомиться")</f>
        <v>Ознакомиться</v>
      </c>
      <c r="W1169" s="8" t="s">
        <v>180</v>
      </c>
      <c r="X1169" s="6"/>
      <c r="Y1169" s="6"/>
      <c r="Z1169" s="6"/>
      <c r="AA1169" s="6" t="s">
        <v>1518</v>
      </c>
      <c r="AB1169" s="8"/>
    </row>
    <row r="1170" spans="1:28" s="4" customFormat="1" ht="51.95" customHeight="1">
      <c r="A1170" s="5">
        <v>0</v>
      </c>
      <c r="B1170" s="6" t="s">
        <v>7520</v>
      </c>
      <c r="C1170" s="7">
        <v>1584</v>
      </c>
      <c r="D1170" s="8" t="s">
        <v>7521</v>
      </c>
      <c r="E1170" s="8" t="s">
        <v>7522</v>
      </c>
      <c r="F1170" s="8" t="s">
        <v>424</v>
      </c>
      <c r="G1170" s="6" t="s">
        <v>90</v>
      </c>
      <c r="H1170" s="6" t="s">
        <v>54</v>
      </c>
      <c r="I1170" s="8" t="s">
        <v>40</v>
      </c>
      <c r="J1170" s="9">
        <v>1</v>
      </c>
      <c r="K1170" s="9">
        <v>336</v>
      </c>
      <c r="L1170" s="9">
        <v>2024</v>
      </c>
      <c r="M1170" s="8" t="s">
        <v>7523</v>
      </c>
      <c r="N1170" s="8" t="s">
        <v>42</v>
      </c>
      <c r="O1170" s="8" t="s">
        <v>169</v>
      </c>
      <c r="P1170" s="6" t="s">
        <v>58</v>
      </c>
      <c r="Q1170" s="8" t="s">
        <v>45</v>
      </c>
      <c r="R1170" s="10" t="s">
        <v>7518</v>
      </c>
      <c r="S1170" s="11" t="s">
        <v>7524</v>
      </c>
      <c r="T1170" s="6"/>
      <c r="U1170" s="24" t="str">
        <f>HYPERLINK("https://media.infra-m.ru/2138/2138202/cover/2138202.jpg", "Обложка")</f>
        <v>Обложка</v>
      </c>
      <c r="V1170" s="24" t="str">
        <f>HYPERLINK("https://znanium.ru/catalog/product/2022257", "Ознакомиться")</f>
        <v>Ознакомиться</v>
      </c>
      <c r="W1170" s="8" t="s">
        <v>180</v>
      </c>
      <c r="X1170" s="6"/>
      <c r="Y1170" s="6"/>
      <c r="Z1170" s="6"/>
      <c r="AA1170" s="6" t="s">
        <v>1696</v>
      </c>
      <c r="AB1170" s="8"/>
    </row>
    <row r="1171" spans="1:28" s="4" customFormat="1" ht="51.95" customHeight="1">
      <c r="A1171" s="5">
        <v>0</v>
      </c>
      <c r="B1171" s="6" t="s">
        <v>7525</v>
      </c>
      <c r="C1171" s="7">
        <v>1254</v>
      </c>
      <c r="D1171" s="8" t="s">
        <v>7526</v>
      </c>
      <c r="E1171" s="8" t="s">
        <v>7527</v>
      </c>
      <c r="F1171" s="8" t="s">
        <v>257</v>
      </c>
      <c r="G1171" s="6" t="s">
        <v>38</v>
      </c>
      <c r="H1171" s="6" t="s">
        <v>39</v>
      </c>
      <c r="I1171" s="8" t="s">
        <v>69</v>
      </c>
      <c r="J1171" s="9">
        <v>1</v>
      </c>
      <c r="K1171" s="9">
        <v>272</v>
      </c>
      <c r="L1171" s="9">
        <v>2024</v>
      </c>
      <c r="M1171" s="8" t="s">
        <v>7528</v>
      </c>
      <c r="N1171" s="8" t="s">
        <v>42</v>
      </c>
      <c r="O1171" s="8" t="s">
        <v>1370</v>
      </c>
      <c r="P1171" s="6" t="s">
        <v>44</v>
      </c>
      <c r="Q1171" s="8" t="s">
        <v>45</v>
      </c>
      <c r="R1171" s="10" t="s">
        <v>7529</v>
      </c>
      <c r="S1171" s="11" t="s">
        <v>7530</v>
      </c>
      <c r="T1171" s="6"/>
      <c r="U1171" s="24" t="str">
        <f>HYPERLINK("https://media.infra-m.ru/2066/2066472/cover/2066472.jpg", "Обложка")</f>
        <v>Обложка</v>
      </c>
      <c r="V1171" s="24" t="str">
        <f>HYPERLINK("https://znanium.ru/catalog/product/1834707", "Ознакомиться")</f>
        <v>Ознакомиться</v>
      </c>
      <c r="W1171" s="8" t="s">
        <v>260</v>
      </c>
      <c r="X1171" s="6"/>
      <c r="Y1171" s="6"/>
      <c r="Z1171" s="6"/>
      <c r="AA1171" s="6" t="s">
        <v>304</v>
      </c>
      <c r="AB1171" s="8"/>
    </row>
    <row r="1172" spans="1:28" s="4" customFormat="1" ht="51.95" customHeight="1">
      <c r="A1172" s="5">
        <v>0</v>
      </c>
      <c r="B1172" s="6" t="s">
        <v>7531</v>
      </c>
      <c r="C1172" s="13">
        <v>794.9</v>
      </c>
      <c r="D1172" s="8" t="s">
        <v>7532</v>
      </c>
      <c r="E1172" s="8" t="s">
        <v>7533</v>
      </c>
      <c r="F1172" s="8" t="s">
        <v>7534</v>
      </c>
      <c r="G1172" s="6" t="s">
        <v>38</v>
      </c>
      <c r="H1172" s="6" t="s">
        <v>54</v>
      </c>
      <c r="I1172" s="8" t="s">
        <v>40</v>
      </c>
      <c r="J1172" s="9">
        <v>1</v>
      </c>
      <c r="K1172" s="9">
        <v>176</v>
      </c>
      <c r="L1172" s="9">
        <v>2023</v>
      </c>
      <c r="M1172" s="8" t="s">
        <v>7535</v>
      </c>
      <c r="N1172" s="8" t="s">
        <v>125</v>
      </c>
      <c r="O1172" s="8" t="s">
        <v>126</v>
      </c>
      <c r="P1172" s="6" t="s">
        <v>44</v>
      </c>
      <c r="Q1172" s="8" t="s">
        <v>45</v>
      </c>
      <c r="R1172" s="10" t="s">
        <v>7536</v>
      </c>
      <c r="S1172" s="11" t="s">
        <v>7537</v>
      </c>
      <c r="T1172" s="6"/>
      <c r="U1172" s="24" t="str">
        <f>HYPERLINK("https://media.infra-m.ru/1896/1896431/cover/1896431.jpg", "Обложка")</f>
        <v>Обложка</v>
      </c>
      <c r="V1172" s="24" t="str">
        <f>HYPERLINK("https://znanium.ru/catalog/product/1871022", "Ознакомиться")</f>
        <v>Ознакомиться</v>
      </c>
      <c r="W1172" s="8" t="s">
        <v>547</v>
      </c>
      <c r="X1172" s="6"/>
      <c r="Y1172" s="6"/>
      <c r="Z1172" s="6" t="s">
        <v>48</v>
      </c>
      <c r="AA1172" s="6" t="s">
        <v>563</v>
      </c>
      <c r="AB1172" s="8"/>
    </row>
    <row r="1173" spans="1:28" s="4" customFormat="1" ht="51.95" customHeight="1">
      <c r="A1173" s="5">
        <v>0</v>
      </c>
      <c r="B1173" s="6" t="s">
        <v>7538</v>
      </c>
      <c r="C1173" s="7">
        <v>1084.9000000000001</v>
      </c>
      <c r="D1173" s="8" t="s">
        <v>7539</v>
      </c>
      <c r="E1173" s="8" t="s">
        <v>7540</v>
      </c>
      <c r="F1173" s="8" t="s">
        <v>7541</v>
      </c>
      <c r="G1173" s="6" t="s">
        <v>38</v>
      </c>
      <c r="H1173" s="6" t="s">
        <v>54</v>
      </c>
      <c r="I1173" s="8" t="s">
        <v>40</v>
      </c>
      <c r="J1173" s="9">
        <v>1</v>
      </c>
      <c r="K1173" s="9">
        <v>240</v>
      </c>
      <c r="L1173" s="9">
        <v>2023</v>
      </c>
      <c r="M1173" s="8" t="s">
        <v>7542</v>
      </c>
      <c r="N1173" s="8" t="s">
        <v>125</v>
      </c>
      <c r="O1173" s="8" t="s">
        <v>126</v>
      </c>
      <c r="P1173" s="6" t="s">
        <v>44</v>
      </c>
      <c r="Q1173" s="8" t="s">
        <v>45</v>
      </c>
      <c r="R1173" s="10" t="s">
        <v>7543</v>
      </c>
      <c r="S1173" s="11" t="s">
        <v>7544</v>
      </c>
      <c r="T1173" s="6"/>
      <c r="U1173" s="24" t="str">
        <f>HYPERLINK("https://media.infra-m.ru/2049/2049720/cover/2049720.jpg", "Обложка")</f>
        <v>Обложка</v>
      </c>
      <c r="V1173" s="24" t="str">
        <f>HYPERLINK("https://znanium.ru/catalog/product/1046389", "Ознакомиться")</f>
        <v>Ознакомиться</v>
      </c>
      <c r="W1173" s="8" t="s">
        <v>7545</v>
      </c>
      <c r="X1173" s="6"/>
      <c r="Y1173" s="6"/>
      <c r="Z1173" s="6" t="s">
        <v>48</v>
      </c>
      <c r="AA1173" s="6" t="s">
        <v>223</v>
      </c>
      <c r="AB1173" s="8"/>
    </row>
    <row r="1174" spans="1:28" s="4" customFormat="1" ht="51.95" customHeight="1">
      <c r="A1174" s="5">
        <v>0</v>
      </c>
      <c r="B1174" s="6" t="s">
        <v>7546</v>
      </c>
      <c r="C1174" s="7">
        <v>2144</v>
      </c>
      <c r="D1174" s="8" t="s">
        <v>7547</v>
      </c>
      <c r="E1174" s="8" t="s">
        <v>7540</v>
      </c>
      <c r="F1174" s="8" t="s">
        <v>7548</v>
      </c>
      <c r="G1174" s="6" t="s">
        <v>38</v>
      </c>
      <c r="H1174" s="6" t="s">
        <v>54</v>
      </c>
      <c r="I1174" s="8" t="s">
        <v>40</v>
      </c>
      <c r="J1174" s="9">
        <v>1</v>
      </c>
      <c r="K1174" s="9">
        <v>576</v>
      </c>
      <c r="L1174" s="9">
        <v>2023</v>
      </c>
      <c r="M1174" s="8" t="s">
        <v>7549</v>
      </c>
      <c r="N1174" s="8" t="s">
        <v>125</v>
      </c>
      <c r="O1174" s="8" t="s">
        <v>126</v>
      </c>
      <c r="P1174" s="6" t="s">
        <v>58</v>
      </c>
      <c r="Q1174" s="8" t="s">
        <v>45</v>
      </c>
      <c r="R1174" s="10" t="s">
        <v>7550</v>
      </c>
      <c r="S1174" s="11" t="s">
        <v>7551</v>
      </c>
      <c r="T1174" s="6"/>
      <c r="U1174" s="24" t="str">
        <f>HYPERLINK("https://media.infra-m.ru/2021/2021444/cover/2021444.jpg", "Обложка")</f>
        <v>Обложка</v>
      </c>
      <c r="V1174" s="24" t="str">
        <f>HYPERLINK("https://znanium.ru/catalog/product/961708", "Ознакомиться")</f>
        <v>Ознакомиться</v>
      </c>
      <c r="W1174" s="8" t="s">
        <v>7552</v>
      </c>
      <c r="X1174" s="6"/>
      <c r="Y1174" s="6"/>
      <c r="Z1174" s="6" t="s">
        <v>48</v>
      </c>
      <c r="AA1174" s="6" t="s">
        <v>740</v>
      </c>
      <c r="AB1174" s="8"/>
    </row>
    <row r="1175" spans="1:28" s="4" customFormat="1" ht="51.95" customHeight="1">
      <c r="A1175" s="5">
        <v>0</v>
      </c>
      <c r="B1175" s="6" t="s">
        <v>7553</v>
      </c>
      <c r="C1175" s="13">
        <v>590</v>
      </c>
      <c r="D1175" s="8" t="s">
        <v>7554</v>
      </c>
      <c r="E1175" s="8" t="s">
        <v>7555</v>
      </c>
      <c r="F1175" s="8" t="s">
        <v>7556</v>
      </c>
      <c r="G1175" s="6" t="s">
        <v>90</v>
      </c>
      <c r="H1175" s="6" t="s">
        <v>54</v>
      </c>
      <c r="I1175" s="8" t="s">
        <v>40</v>
      </c>
      <c r="J1175" s="9">
        <v>1</v>
      </c>
      <c r="K1175" s="9">
        <v>136</v>
      </c>
      <c r="L1175" s="9">
        <v>2022</v>
      </c>
      <c r="M1175" s="8" t="s">
        <v>7557</v>
      </c>
      <c r="N1175" s="8" t="s">
        <v>125</v>
      </c>
      <c r="O1175" s="8" t="s">
        <v>126</v>
      </c>
      <c r="P1175" s="6" t="s">
        <v>44</v>
      </c>
      <c r="Q1175" s="8" t="s">
        <v>45</v>
      </c>
      <c r="R1175" s="10" t="s">
        <v>7536</v>
      </c>
      <c r="S1175" s="11" t="s">
        <v>7558</v>
      </c>
      <c r="T1175" s="6"/>
      <c r="U1175" s="24" t="str">
        <f>HYPERLINK("https://media.infra-m.ru/1865/1865779/cover/1865779.jpg", "Обложка")</f>
        <v>Обложка</v>
      </c>
      <c r="V1175" s="24" t="str">
        <f>HYPERLINK("https://znanium.ru/catalog/product/1865779", "Ознакомиться")</f>
        <v>Ознакомиться</v>
      </c>
      <c r="W1175" s="8" t="s">
        <v>572</v>
      </c>
      <c r="X1175" s="6"/>
      <c r="Y1175" s="6"/>
      <c r="Z1175" s="6" t="s">
        <v>48</v>
      </c>
      <c r="AA1175" s="6" t="s">
        <v>223</v>
      </c>
      <c r="AB1175" s="8"/>
    </row>
    <row r="1176" spans="1:28" s="4" customFormat="1" ht="51.95" customHeight="1">
      <c r="A1176" s="5">
        <v>0</v>
      </c>
      <c r="B1176" s="6" t="s">
        <v>7559</v>
      </c>
      <c r="C1176" s="7">
        <v>2094</v>
      </c>
      <c r="D1176" s="8" t="s">
        <v>7560</v>
      </c>
      <c r="E1176" s="8" t="s">
        <v>7561</v>
      </c>
      <c r="F1176" s="8" t="s">
        <v>7562</v>
      </c>
      <c r="G1176" s="6" t="s">
        <v>38</v>
      </c>
      <c r="H1176" s="6" t="s">
        <v>54</v>
      </c>
      <c r="I1176" s="8" t="s">
        <v>40</v>
      </c>
      <c r="J1176" s="9">
        <v>1</v>
      </c>
      <c r="K1176" s="9">
        <v>448</v>
      </c>
      <c r="L1176" s="9">
        <v>2024</v>
      </c>
      <c r="M1176" s="8" t="s">
        <v>7563</v>
      </c>
      <c r="N1176" s="8" t="s">
        <v>125</v>
      </c>
      <c r="O1176" s="8" t="s">
        <v>126</v>
      </c>
      <c r="P1176" s="6" t="s">
        <v>58</v>
      </c>
      <c r="Q1176" s="8" t="s">
        <v>45</v>
      </c>
      <c r="R1176" s="10" t="s">
        <v>7543</v>
      </c>
      <c r="S1176" s="11" t="s">
        <v>7564</v>
      </c>
      <c r="T1176" s="6"/>
      <c r="U1176" s="24" t="str">
        <f>HYPERLINK("https://media.infra-m.ru/2152/2152110/cover/2152110.jpg", "Обложка")</f>
        <v>Обложка</v>
      </c>
      <c r="V1176" s="24" t="str">
        <f>HYPERLINK("https://znanium.ru/catalog/product/1046426", "Ознакомиться")</f>
        <v>Ознакомиться</v>
      </c>
      <c r="W1176" s="8" t="s">
        <v>7565</v>
      </c>
      <c r="X1176" s="6"/>
      <c r="Y1176" s="6"/>
      <c r="Z1176" s="6" t="s">
        <v>48</v>
      </c>
      <c r="AA1176" s="6" t="s">
        <v>443</v>
      </c>
      <c r="AB1176" s="8"/>
    </row>
    <row r="1177" spans="1:28" s="4" customFormat="1" ht="51.95" customHeight="1">
      <c r="A1177" s="5">
        <v>0</v>
      </c>
      <c r="B1177" s="6" t="s">
        <v>7566</v>
      </c>
      <c r="C1177" s="7">
        <v>1324</v>
      </c>
      <c r="D1177" s="8" t="s">
        <v>7567</v>
      </c>
      <c r="E1177" s="8" t="s">
        <v>7568</v>
      </c>
      <c r="F1177" s="8" t="s">
        <v>7569</v>
      </c>
      <c r="G1177" s="6" t="s">
        <v>38</v>
      </c>
      <c r="H1177" s="6" t="s">
        <v>54</v>
      </c>
      <c r="I1177" s="8" t="s">
        <v>40</v>
      </c>
      <c r="J1177" s="9">
        <v>1</v>
      </c>
      <c r="K1177" s="9">
        <v>265</v>
      </c>
      <c r="L1177" s="9">
        <v>2025</v>
      </c>
      <c r="M1177" s="8" t="s">
        <v>7570</v>
      </c>
      <c r="N1177" s="8" t="s">
        <v>125</v>
      </c>
      <c r="O1177" s="8" t="s">
        <v>126</v>
      </c>
      <c r="P1177" s="6" t="s">
        <v>58</v>
      </c>
      <c r="Q1177" s="8" t="s">
        <v>45</v>
      </c>
      <c r="R1177" s="10" t="s">
        <v>7571</v>
      </c>
      <c r="S1177" s="11" t="s">
        <v>7564</v>
      </c>
      <c r="T1177" s="6"/>
      <c r="U1177" s="24" t="str">
        <f>HYPERLINK("https://media.infra-m.ru/2164/2164001/cover/2164001.jpg", "Обложка")</f>
        <v>Обложка</v>
      </c>
      <c r="V1177" s="24" t="str">
        <f>HYPERLINK("https://znanium.ru/catalog/product/1046411", "Ознакомиться")</f>
        <v>Ознакомиться</v>
      </c>
      <c r="W1177" s="8" t="s">
        <v>7545</v>
      </c>
      <c r="X1177" s="6"/>
      <c r="Y1177" s="6"/>
      <c r="Z1177" s="6" t="s">
        <v>48</v>
      </c>
      <c r="AA1177" s="6" t="s">
        <v>443</v>
      </c>
      <c r="AB1177" s="8"/>
    </row>
    <row r="1178" spans="1:28" s="4" customFormat="1" ht="42" customHeight="1">
      <c r="A1178" s="5">
        <v>0</v>
      </c>
      <c r="B1178" s="6" t="s">
        <v>7572</v>
      </c>
      <c r="C1178" s="7">
        <v>1180</v>
      </c>
      <c r="D1178" s="8" t="s">
        <v>7573</v>
      </c>
      <c r="E1178" s="8" t="s">
        <v>7574</v>
      </c>
      <c r="F1178" s="8" t="s">
        <v>846</v>
      </c>
      <c r="G1178" s="6" t="s">
        <v>38</v>
      </c>
      <c r="H1178" s="6" t="s">
        <v>54</v>
      </c>
      <c r="I1178" s="8" t="s">
        <v>40</v>
      </c>
      <c r="J1178" s="9">
        <v>1</v>
      </c>
      <c r="K1178" s="9">
        <v>216</v>
      </c>
      <c r="L1178" s="9">
        <v>2026</v>
      </c>
      <c r="M1178" s="8" t="s">
        <v>7575</v>
      </c>
      <c r="N1178" s="8" t="s">
        <v>125</v>
      </c>
      <c r="O1178" s="8" t="s">
        <v>126</v>
      </c>
      <c r="P1178" s="6" t="s">
        <v>44</v>
      </c>
      <c r="Q1178" s="8" t="s">
        <v>45</v>
      </c>
      <c r="R1178" s="10" t="s">
        <v>7576</v>
      </c>
      <c r="S1178" s="11"/>
      <c r="T1178" s="6"/>
      <c r="U1178" s="24" t="str">
        <f>HYPERLINK("https://media.infra-m.ru/2168/2168876/cover/2168876.jpg", "Обложка")</f>
        <v>Обложка</v>
      </c>
      <c r="V1178" s="24" t="str">
        <f>HYPERLINK("https://znanium.ru/catalog/product/2168876", "Ознакомиться")</f>
        <v>Ознакомиться</v>
      </c>
      <c r="W1178" s="8" t="s">
        <v>850</v>
      </c>
      <c r="X1178" s="6" t="s">
        <v>1400</v>
      </c>
      <c r="Y1178" s="6"/>
      <c r="Z1178" s="6" t="s">
        <v>207</v>
      </c>
      <c r="AA1178" s="6" t="s">
        <v>62</v>
      </c>
      <c r="AB1178" s="8"/>
    </row>
    <row r="1179" spans="1:28" s="4" customFormat="1" ht="51.95" customHeight="1">
      <c r="A1179" s="5">
        <v>0</v>
      </c>
      <c r="B1179" s="6" t="s">
        <v>7577</v>
      </c>
      <c r="C1179" s="13">
        <v>513</v>
      </c>
      <c r="D1179" s="8" t="s">
        <v>7578</v>
      </c>
      <c r="E1179" s="8" t="s">
        <v>7579</v>
      </c>
      <c r="F1179" s="8" t="s">
        <v>7580</v>
      </c>
      <c r="G1179" s="6" t="s">
        <v>67</v>
      </c>
      <c r="H1179" s="6" t="s">
        <v>68</v>
      </c>
      <c r="I1179" s="8" t="s">
        <v>69</v>
      </c>
      <c r="J1179" s="9">
        <v>1</v>
      </c>
      <c r="K1179" s="9">
        <v>156</v>
      </c>
      <c r="L1179" s="9">
        <v>2025</v>
      </c>
      <c r="M1179" s="8" t="s">
        <v>7581</v>
      </c>
      <c r="N1179" s="8" t="s">
        <v>125</v>
      </c>
      <c r="O1179" s="8" t="s">
        <v>126</v>
      </c>
      <c r="P1179" s="6" t="s">
        <v>44</v>
      </c>
      <c r="Q1179" s="8" t="s">
        <v>45</v>
      </c>
      <c r="R1179" s="10" t="s">
        <v>7582</v>
      </c>
      <c r="S1179" s="11"/>
      <c r="T1179" s="6"/>
      <c r="U1179" s="24" t="str">
        <f>HYPERLINK("https://media.infra-m.ru/2183/2183396/cover/2183396.jpg", "Обложка")</f>
        <v>Обложка</v>
      </c>
      <c r="V1179" s="24" t="str">
        <f>HYPERLINK("https://znanium.ru/catalog/product/2183396", "Ознакомиться")</f>
        <v>Ознакомиться</v>
      </c>
      <c r="W1179" s="8" t="s">
        <v>386</v>
      </c>
      <c r="X1179" s="6"/>
      <c r="Y1179" s="6"/>
      <c r="Z1179" s="6"/>
      <c r="AA1179" s="6" t="s">
        <v>1526</v>
      </c>
      <c r="AB1179" s="8"/>
    </row>
    <row r="1180" spans="1:28" s="4" customFormat="1" ht="42" customHeight="1">
      <c r="A1180" s="5">
        <v>0</v>
      </c>
      <c r="B1180" s="6" t="s">
        <v>7583</v>
      </c>
      <c r="C1180" s="7">
        <v>2380</v>
      </c>
      <c r="D1180" s="8" t="s">
        <v>7584</v>
      </c>
      <c r="E1180" s="8" t="s">
        <v>7585</v>
      </c>
      <c r="F1180" s="8" t="s">
        <v>2245</v>
      </c>
      <c r="G1180" s="6" t="s">
        <v>38</v>
      </c>
      <c r="H1180" s="6" t="s">
        <v>54</v>
      </c>
      <c r="I1180" s="8" t="s">
        <v>40</v>
      </c>
      <c r="J1180" s="9">
        <v>1</v>
      </c>
      <c r="K1180" s="9">
        <v>429</v>
      </c>
      <c r="L1180" s="9">
        <v>2026</v>
      </c>
      <c r="M1180" s="8" t="s">
        <v>7586</v>
      </c>
      <c r="N1180" s="8" t="s">
        <v>125</v>
      </c>
      <c r="O1180" s="8" t="s">
        <v>126</v>
      </c>
      <c r="P1180" s="6" t="s">
        <v>44</v>
      </c>
      <c r="Q1180" s="8" t="s">
        <v>45</v>
      </c>
      <c r="R1180" s="10" t="s">
        <v>848</v>
      </c>
      <c r="S1180" s="11"/>
      <c r="T1180" s="6"/>
      <c r="U1180" s="24" t="str">
        <f>HYPERLINK("https://media.infra-m.ru/2188/2188101/cover/2188101.jpg", "Обложка")</f>
        <v>Обложка</v>
      </c>
      <c r="V1180" s="24" t="str">
        <f>HYPERLINK("https://znanium.ru/catalog/product/2188101", "Ознакомиться")</f>
        <v>Ознакомиться</v>
      </c>
      <c r="W1180" s="8" t="s">
        <v>180</v>
      </c>
      <c r="X1180" s="6" t="s">
        <v>61</v>
      </c>
      <c r="Y1180" s="6"/>
      <c r="Z1180" s="6"/>
      <c r="AA1180" s="6" t="s">
        <v>62</v>
      </c>
      <c r="AB1180" s="8" t="s">
        <v>7587</v>
      </c>
    </row>
    <row r="1181" spans="1:28" s="4" customFormat="1" ht="51.95" customHeight="1">
      <c r="A1181" s="5">
        <v>0</v>
      </c>
      <c r="B1181" s="6" t="s">
        <v>7588</v>
      </c>
      <c r="C1181" s="7">
        <v>1654</v>
      </c>
      <c r="D1181" s="8" t="s">
        <v>7589</v>
      </c>
      <c r="E1181" s="8" t="s">
        <v>7590</v>
      </c>
      <c r="F1181" s="8" t="s">
        <v>3261</v>
      </c>
      <c r="G1181" s="6" t="s">
        <v>90</v>
      </c>
      <c r="H1181" s="6" t="s">
        <v>54</v>
      </c>
      <c r="I1181" s="8" t="s">
        <v>40</v>
      </c>
      <c r="J1181" s="9">
        <v>1</v>
      </c>
      <c r="K1181" s="9">
        <v>265</v>
      </c>
      <c r="L1181" s="9">
        <v>2026</v>
      </c>
      <c r="M1181" s="8" t="s">
        <v>7591</v>
      </c>
      <c r="N1181" s="8" t="s">
        <v>125</v>
      </c>
      <c r="O1181" s="8" t="s">
        <v>126</v>
      </c>
      <c r="P1181" s="6" t="s">
        <v>44</v>
      </c>
      <c r="Q1181" s="8" t="s">
        <v>45</v>
      </c>
      <c r="R1181" s="10" t="s">
        <v>7571</v>
      </c>
      <c r="S1181" s="11" t="s">
        <v>7592</v>
      </c>
      <c r="T1181" s="6"/>
      <c r="U1181" s="24" t="str">
        <f>HYPERLINK("https://media.infra-m.ru/2216/2216896/cover/2216896.jpg", "Обложка")</f>
        <v>Обложка</v>
      </c>
      <c r="V1181" s="24" t="str">
        <f>HYPERLINK("https://znanium.ru/catalog/product/2139038", "Ознакомиться")</f>
        <v>Ознакомиться</v>
      </c>
      <c r="W1181" s="8" t="s">
        <v>3172</v>
      </c>
      <c r="X1181" s="6"/>
      <c r="Y1181" s="6"/>
      <c r="Z1181" s="6" t="s">
        <v>48</v>
      </c>
      <c r="AA1181" s="6" t="s">
        <v>111</v>
      </c>
      <c r="AB1181" s="8"/>
    </row>
    <row r="1182" spans="1:28" s="4" customFormat="1" ht="51.95" customHeight="1">
      <c r="A1182" s="5">
        <v>0</v>
      </c>
      <c r="B1182" s="6" t="s">
        <v>7593</v>
      </c>
      <c r="C1182" s="7">
        <v>1870</v>
      </c>
      <c r="D1182" s="8" t="s">
        <v>7594</v>
      </c>
      <c r="E1182" s="8" t="s">
        <v>7595</v>
      </c>
      <c r="F1182" s="8" t="s">
        <v>7596</v>
      </c>
      <c r="G1182" s="6" t="s">
        <v>90</v>
      </c>
      <c r="H1182" s="6" t="s">
        <v>54</v>
      </c>
      <c r="I1182" s="8" t="s">
        <v>40</v>
      </c>
      <c r="J1182" s="9">
        <v>1</v>
      </c>
      <c r="K1182" s="9">
        <v>398</v>
      </c>
      <c r="L1182" s="9">
        <v>2024</v>
      </c>
      <c r="M1182" s="8" t="s">
        <v>7597</v>
      </c>
      <c r="N1182" s="8" t="s">
        <v>125</v>
      </c>
      <c r="O1182" s="8" t="s">
        <v>126</v>
      </c>
      <c r="P1182" s="6" t="s">
        <v>44</v>
      </c>
      <c r="Q1182" s="8" t="s">
        <v>45</v>
      </c>
      <c r="R1182" s="10" t="s">
        <v>7598</v>
      </c>
      <c r="S1182" s="11" t="s">
        <v>7599</v>
      </c>
      <c r="T1182" s="6"/>
      <c r="U1182" s="24" t="str">
        <f>HYPERLINK("https://media.infra-m.ru/2140/2140338/cover/2140338.jpg", "Обложка")</f>
        <v>Обложка</v>
      </c>
      <c r="V1182" s="24" t="str">
        <f>HYPERLINK("https://znanium.ru/catalog/product/2140338", "Ознакомиться")</f>
        <v>Ознакомиться</v>
      </c>
      <c r="W1182" s="8" t="s">
        <v>1152</v>
      </c>
      <c r="X1182" s="6"/>
      <c r="Y1182" s="6"/>
      <c r="Z1182" s="6"/>
      <c r="AA1182" s="6" t="s">
        <v>237</v>
      </c>
      <c r="AB1182" s="8"/>
    </row>
    <row r="1183" spans="1:28" s="4" customFormat="1" ht="51.95" customHeight="1">
      <c r="A1183" s="5">
        <v>0</v>
      </c>
      <c r="B1183" s="6" t="s">
        <v>7600</v>
      </c>
      <c r="C1183" s="7">
        <v>3280</v>
      </c>
      <c r="D1183" s="8" t="s">
        <v>7601</v>
      </c>
      <c r="E1183" s="8" t="s">
        <v>7602</v>
      </c>
      <c r="F1183" s="8" t="s">
        <v>7603</v>
      </c>
      <c r="G1183" s="6" t="s">
        <v>38</v>
      </c>
      <c r="H1183" s="6" t="s">
        <v>54</v>
      </c>
      <c r="I1183" s="8" t="s">
        <v>40</v>
      </c>
      <c r="J1183" s="9">
        <v>1</v>
      </c>
      <c r="K1183" s="9">
        <v>631</v>
      </c>
      <c r="L1183" s="9">
        <v>2025</v>
      </c>
      <c r="M1183" s="8" t="s">
        <v>7604</v>
      </c>
      <c r="N1183" s="8" t="s">
        <v>42</v>
      </c>
      <c r="O1183" s="8" t="s">
        <v>243</v>
      </c>
      <c r="P1183" s="6" t="s">
        <v>44</v>
      </c>
      <c r="Q1183" s="8" t="s">
        <v>45</v>
      </c>
      <c r="R1183" s="10" t="s">
        <v>7605</v>
      </c>
      <c r="S1183" s="11"/>
      <c r="T1183" s="6"/>
      <c r="U1183" s="24" t="str">
        <f>HYPERLINK("https://media.infra-m.ru/2202/2202919/cover/2202919.jpg", "Обложка")</f>
        <v>Обложка</v>
      </c>
      <c r="V1183" s="24" t="str">
        <f>HYPERLINK("https://znanium.ru/catalog/product/2202919", "Ознакомиться")</f>
        <v>Ознакомиться</v>
      </c>
      <c r="W1183" s="8" t="s">
        <v>293</v>
      </c>
      <c r="X1183" s="6"/>
      <c r="Y1183" s="6"/>
      <c r="Z1183" s="6"/>
      <c r="AA1183" s="6" t="s">
        <v>354</v>
      </c>
      <c r="AB1183" s="8" t="s">
        <v>648</v>
      </c>
    </row>
    <row r="1184" spans="1:28" s="4" customFormat="1" ht="51.95" customHeight="1">
      <c r="A1184" s="5">
        <v>0</v>
      </c>
      <c r="B1184" s="6" t="s">
        <v>7606</v>
      </c>
      <c r="C1184" s="7">
        <v>2874</v>
      </c>
      <c r="D1184" s="8" t="s">
        <v>7607</v>
      </c>
      <c r="E1184" s="8" t="s">
        <v>7608</v>
      </c>
      <c r="F1184" s="8" t="s">
        <v>7609</v>
      </c>
      <c r="G1184" s="6" t="s">
        <v>90</v>
      </c>
      <c r="H1184" s="6" t="s">
        <v>54</v>
      </c>
      <c r="I1184" s="8" t="s">
        <v>40</v>
      </c>
      <c r="J1184" s="9">
        <v>1</v>
      </c>
      <c r="K1184" s="9">
        <v>425</v>
      </c>
      <c r="L1184" s="9">
        <v>2026</v>
      </c>
      <c r="M1184" s="8" t="s">
        <v>7610</v>
      </c>
      <c r="N1184" s="8" t="s">
        <v>42</v>
      </c>
      <c r="O1184" s="8" t="s">
        <v>243</v>
      </c>
      <c r="P1184" s="6" t="s">
        <v>58</v>
      </c>
      <c r="Q1184" s="8" t="s">
        <v>45</v>
      </c>
      <c r="R1184" s="10" t="s">
        <v>7611</v>
      </c>
      <c r="S1184" s="11" t="s">
        <v>7612</v>
      </c>
      <c r="T1184" s="6"/>
      <c r="U1184" s="24" t="str">
        <f>HYPERLINK("https://media.infra-m.ru/2219/2219481/cover/2219481.jpg", "Обложка")</f>
        <v>Обложка</v>
      </c>
      <c r="V1184" s="24" t="str">
        <f>HYPERLINK("https://znanium.ru/catalog/product/2186904", "Ознакомиться")</f>
        <v>Ознакомиться</v>
      </c>
      <c r="W1184" s="8" t="s">
        <v>293</v>
      </c>
      <c r="X1184" s="6"/>
      <c r="Y1184" s="6" t="s">
        <v>30</v>
      </c>
      <c r="Z1184" s="6" t="s">
        <v>48</v>
      </c>
      <c r="AA1184" s="6" t="s">
        <v>111</v>
      </c>
      <c r="AB1184" s="8" t="s">
        <v>860</v>
      </c>
    </row>
    <row r="1185" spans="1:28" s="4" customFormat="1" ht="42" customHeight="1">
      <c r="A1185" s="5">
        <v>0</v>
      </c>
      <c r="B1185" s="6" t="s">
        <v>7613</v>
      </c>
      <c r="C1185" s="7">
        <v>1764</v>
      </c>
      <c r="D1185" s="8" t="s">
        <v>7614</v>
      </c>
      <c r="E1185" s="8" t="s">
        <v>7615</v>
      </c>
      <c r="F1185" s="8" t="s">
        <v>7616</v>
      </c>
      <c r="G1185" s="6" t="s">
        <v>38</v>
      </c>
      <c r="H1185" s="6" t="s">
        <v>54</v>
      </c>
      <c r="I1185" s="8" t="s">
        <v>40</v>
      </c>
      <c r="J1185" s="9">
        <v>1</v>
      </c>
      <c r="K1185" s="9">
        <v>331</v>
      </c>
      <c r="L1185" s="9">
        <v>2026</v>
      </c>
      <c r="M1185" s="8" t="s">
        <v>7617</v>
      </c>
      <c r="N1185" s="8" t="s">
        <v>125</v>
      </c>
      <c r="O1185" s="8" t="s">
        <v>352</v>
      </c>
      <c r="P1185" s="6" t="s">
        <v>58</v>
      </c>
      <c r="Q1185" s="8" t="s">
        <v>45</v>
      </c>
      <c r="R1185" s="10" t="s">
        <v>7618</v>
      </c>
      <c r="S1185" s="11"/>
      <c r="T1185" s="6"/>
      <c r="U1185" s="24" t="str">
        <f>HYPERLINK("https://media.infra-m.ru/2219/2219571/cover/2219571.jpg", "Обложка")</f>
        <v>Обложка</v>
      </c>
      <c r="V1185" s="24" t="str">
        <f>HYPERLINK("https://znanium.ru/catalog/product/2193218", "Ознакомиться")</f>
        <v>Ознакомиться</v>
      </c>
      <c r="W1185" s="8" t="s">
        <v>5749</v>
      </c>
      <c r="X1185" s="6"/>
      <c r="Y1185" s="6"/>
      <c r="Z1185" s="6"/>
      <c r="AA1185" s="6" t="s">
        <v>102</v>
      </c>
      <c r="AB1185" s="8" t="s">
        <v>2908</v>
      </c>
    </row>
    <row r="1186" spans="1:28" s="4" customFormat="1" ht="51.95" customHeight="1">
      <c r="A1186" s="5">
        <v>0</v>
      </c>
      <c r="B1186" s="6" t="s">
        <v>7619</v>
      </c>
      <c r="C1186" s="7">
        <v>1430</v>
      </c>
      <c r="D1186" s="8" t="s">
        <v>7620</v>
      </c>
      <c r="E1186" s="8" t="s">
        <v>7615</v>
      </c>
      <c r="F1186" s="8" t="s">
        <v>5645</v>
      </c>
      <c r="G1186" s="6" t="s">
        <v>90</v>
      </c>
      <c r="H1186" s="6" t="s">
        <v>54</v>
      </c>
      <c r="I1186" s="8" t="s">
        <v>40</v>
      </c>
      <c r="J1186" s="9">
        <v>1</v>
      </c>
      <c r="K1186" s="9">
        <v>316</v>
      </c>
      <c r="L1186" s="9">
        <v>2023</v>
      </c>
      <c r="M1186" s="8" t="s">
        <v>7621</v>
      </c>
      <c r="N1186" s="8" t="s">
        <v>125</v>
      </c>
      <c r="O1186" s="8" t="s">
        <v>352</v>
      </c>
      <c r="P1186" s="6" t="s">
        <v>44</v>
      </c>
      <c r="Q1186" s="8" t="s">
        <v>45</v>
      </c>
      <c r="R1186" s="10" t="s">
        <v>108</v>
      </c>
      <c r="S1186" s="11" t="s">
        <v>7622</v>
      </c>
      <c r="T1186" s="6"/>
      <c r="U1186" s="24" t="str">
        <f>HYPERLINK("https://media.infra-m.ru/1932/1932343/cover/1932343.jpg", "Обложка")</f>
        <v>Обложка</v>
      </c>
      <c r="V1186" s="24" t="str">
        <f>HYPERLINK("https://znanium.ru/catalog/product/1932343", "Ознакомиться")</f>
        <v>Ознакомиться</v>
      </c>
      <c r="W1186" s="8" t="s">
        <v>379</v>
      </c>
      <c r="X1186" s="6"/>
      <c r="Y1186" s="6"/>
      <c r="Z1186" s="6"/>
      <c r="AA1186" s="6" t="s">
        <v>740</v>
      </c>
      <c r="AB1186" s="8"/>
    </row>
    <row r="1187" spans="1:28" s="4" customFormat="1" ht="51.95" customHeight="1">
      <c r="A1187" s="5">
        <v>0</v>
      </c>
      <c r="B1187" s="6" t="s">
        <v>7623</v>
      </c>
      <c r="C1187" s="13">
        <v>590</v>
      </c>
      <c r="D1187" s="8" t="s">
        <v>7624</v>
      </c>
      <c r="E1187" s="8" t="s">
        <v>7625</v>
      </c>
      <c r="F1187" s="8" t="s">
        <v>7626</v>
      </c>
      <c r="G1187" s="6" t="s">
        <v>67</v>
      </c>
      <c r="H1187" s="6" t="s">
        <v>39</v>
      </c>
      <c r="I1187" s="8" t="s">
        <v>40</v>
      </c>
      <c r="J1187" s="9">
        <v>1</v>
      </c>
      <c r="K1187" s="9">
        <v>112</v>
      </c>
      <c r="L1187" s="9">
        <v>2025</v>
      </c>
      <c r="M1187" s="8" t="s">
        <v>7627</v>
      </c>
      <c r="N1187" s="8" t="s">
        <v>125</v>
      </c>
      <c r="O1187" s="8" t="s">
        <v>1630</v>
      </c>
      <c r="P1187" s="6" t="s">
        <v>71</v>
      </c>
      <c r="Q1187" s="8" t="s">
        <v>45</v>
      </c>
      <c r="R1187" s="10" t="s">
        <v>1005</v>
      </c>
      <c r="S1187" s="11" t="s">
        <v>661</v>
      </c>
      <c r="T1187" s="6"/>
      <c r="U1187" s="24" t="str">
        <f>HYPERLINK("https://media.infra-m.ru/2179/2179097/cover/2179097.jpg", "Обложка")</f>
        <v>Обложка</v>
      </c>
      <c r="V1187" s="24" t="str">
        <f>HYPERLINK("https://znanium.ru/catalog/product/2179097", "Ознакомиться")</f>
        <v>Ознакомиться</v>
      </c>
      <c r="W1187" s="8" t="s">
        <v>94</v>
      </c>
      <c r="X1187" s="6"/>
      <c r="Y1187" s="6"/>
      <c r="Z1187" s="6" t="s">
        <v>48</v>
      </c>
      <c r="AA1187" s="6" t="s">
        <v>129</v>
      </c>
      <c r="AB1187" s="8"/>
    </row>
    <row r="1188" spans="1:28" s="4" customFormat="1" ht="51.95" customHeight="1">
      <c r="A1188" s="5">
        <v>0</v>
      </c>
      <c r="B1188" s="6" t="s">
        <v>7628</v>
      </c>
      <c r="C1188" s="7">
        <v>1254</v>
      </c>
      <c r="D1188" s="8" t="s">
        <v>7629</v>
      </c>
      <c r="E1188" s="8" t="s">
        <v>7630</v>
      </c>
      <c r="F1188" s="8" t="s">
        <v>1543</v>
      </c>
      <c r="G1188" s="6" t="s">
        <v>90</v>
      </c>
      <c r="H1188" s="6" t="s">
        <v>54</v>
      </c>
      <c r="I1188" s="8" t="s">
        <v>40</v>
      </c>
      <c r="J1188" s="9">
        <v>1</v>
      </c>
      <c r="K1188" s="9">
        <v>241</v>
      </c>
      <c r="L1188" s="9">
        <v>2025</v>
      </c>
      <c r="M1188" s="8" t="s">
        <v>7631</v>
      </c>
      <c r="N1188" s="8" t="s">
        <v>125</v>
      </c>
      <c r="O1188" s="8" t="s">
        <v>126</v>
      </c>
      <c r="P1188" s="6" t="s">
        <v>44</v>
      </c>
      <c r="Q1188" s="8" t="s">
        <v>45</v>
      </c>
      <c r="R1188" s="10" t="s">
        <v>625</v>
      </c>
      <c r="S1188" s="11" t="s">
        <v>7632</v>
      </c>
      <c r="T1188" s="6"/>
      <c r="U1188" s="24" t="str">
        <f>HYPERLINK("https://media.infra-m.ru/2198/2198345/cover/2198345.jpg", "Обложка")</f>
        <v>Обложка</v>
      </c>
      <c r="V1188" s="24" t="str">
        <f>HYPERLINK("https://znanium.ru/catalog/product/2107426", "Ознакомиться")</f>
        <v>Ознакомиться</v>
      </c>
      <c r="W1188" s="8" t="s">
        <v>1546</v>
      </c>
      <c r="X1188" s="6"/>
      <c r="Y1188" s="6"/>
      <c r="Z1188" s="6" t="s">
        <v>48</v>
      </c>
      <c r="AA1188" s="6" t="s">
        <v>223</v>
      </c>
      <c r="AB1188" s="8"/>
    </row>
    <row r="1189" spans="1:28" s="4" customFormat="1" ht="51.95" customHeight="1">
      <c r="A1189" s="5">
        <v>0</v>
      </c>
      <c r="B1189" s="6" t="s">
        <v>7633</v>
      </c>
      <c r="C1189" s="7">
        <v>1390</v>
      </c>
      <c r="D1189" s="8" t="s">
        <v>7634</v>
      </c>
      <c r="E1189" s="8" t="s">
        <v>7635</v>
      </c>
      <c r="F1189" s="8" t="s">
        <v>7636</v>
      </c>
      <c r="G1189" s="6" t="s">
        <v>90</v>
      </c>
      <c r="H1189" s="6" t="s">
        <v>39</v>
      </c>
      <c r="I1189" s="8" t="s">
        <v>40</v>
      </c>
      <c r="J1189" s="9">
        <v>1</v>
      </c>
      <c r="K1189" s="9">
        <v>303</v>
      </c>
      <c r="L1189" s="9">
        <v>2023</v>
      </c>
      <c r="M1189" s="8" t="s">
        <v>7637</v>
      </c>
      <c r="N1189" s="8" t="s">
        <v>42</v>
      </c>
      <c r="O1189" s="8" t="s">
        <v>243</v>
      </c>
      <c r="P1189" s="6" t="s">
        <v>58</v>
      </c>
      <c r="Q1189" s="8" t="s">
        <v>45</v>
      </c>
      <c r="R1189" s="10" t="s">
        <v>7638</v>
      </c>
      <c r="S1189" s="11" t="s">
        <v>7639</v>
      </c>
      <c r="T1189" s="6"/>
      <c r="U1189" s="24" t="str">
        <f>HYPERLINK("https://media.infra-m.ru/2013/2013715/cover/2013715.jpg", "Обложка")</f>
        <v>Обложка</v>
      </c>
      <c r="V1189" s="24" t="str">
        <f>HYPERLINK("https://znanium.ru/catalog/product/2013715", "Ознакомиться")</f>
        <v>Ознакомиться</v>
      </c>
      <c r="W1189" s="8" t="s">
        <v>172</v>
      </c>
      <c r="X1189" s="6"/>
      <c r="Y1189" s="6"/>
      <c r="Z1189" s="6" t="s">
        <v>48</v>
      </c>
      <c r="AA1189" s="6" t="s">
        <v>111</v>
      </c>
      <c r="AB1189" s="8"/>
    </row>
    <row r="1190" spans="1:28" s="4" customFormat="1" ht="51.95" customHeight="1">
      <c r="A1190" s="5">
        <v>0</v>
      </c>
      <c r="B1190" s="6" t="s">
        <v>7640</v>
      </c>
      <c r="C1190" s="7">
        <v>3500</v>
      </c>
      <c r="D1190" s="8" t="s">
        <v>7641</v>
      </c>
      <c r="E1190" s="8" t="s">
        <v>7642</v>
      </c>
      <c r="F1190" s="8" t="s">
        <v>7643</v>
      </c>
      <c r="G1190" s="6" t="s">
        <v>38</v>
      </c>
      <c r="H1190" s="6" t="s">
        <v>68</v>
      </c>
      <c r="I1190" s="8" t="s">
        <v>69</v>
      </c>
      <c r="J1190" s="9">
        <v>1</v>
      </c>
      <c r="K1190" s="9">
        <v>700</v>
      </c>
      <c r="L1190" s="9">
        <v>2025</v>
      </c>
      <c r="M1190" s="8" t="s">
        <v>7644</v>
      </c>
      <c r="N1190" s="8" t="s">
        <v>125</v>
      </c>
      <c r="O1190" s="8" t="s">
        <v>352</v>
      </c>
      <c r="P1190" s="6" t="s">
        <v>58</v>
      </c>
      <c r="Q1190" s="8" t="s">
        <v>45</v>
      </c>
      <c r="R1190" s="10" t="s">
        <v>108</v>
      </c>
      <c r="S1190" s="11" t="s">
        <v>7645</v>
      </c>
      <c r="T1190" s="6"/>
      <c r="U1190" s="24" t="str">
        <f>HYPERLINK("https://media.infra-m.ru/2172/2172166/cover/2172166.jpg", "Обложка")</f>
        <v>Обложка</v>
      </c>
      <c r="V1190" s="24" t="str">
        <f>HYPERLINK("https://znanium.ru/catalog/product/2172166", "Ознакомиться")</f>
        <v>Ознакомиться</v>
      </c>
      <c r="W1190" s="8" t="s">
        <v>7646</v>
      </c>
      <c r="X1190" s="6"/>
      <c r="Y1190" s="6"/>
      <c r="Z1190" s="6" t="s">
        <v>207</v>
      </c>
      <c r="AA1190" s="6" t="s">
        <v>102</v>
      </c>
      <c r="AB1190" s="8"/>
    </row>
    <row r="1191" spans="1:28" s="4" customFormat="1" ht="51.95" customHeight="1">
      <c r="A1191" s="5">
        <v>0</v>
      </c>
      <c r="B1191" s="6" t="s">
        <v>7647</v>
      </c>
      <c r="C1191" s="7">
        <v>2664</v>
      </c>
      <c r="D1191" s="8" t="s">
        <v>7648</v>
      </c>
      <c r="E1191" s="8" t="s">
        <v>7649</v>
      </c>
      <c r="F1191" s="8" t="s">
        <v>7650</v>
      </c>
      <c r="G1191" s="6" t="s">
        <v>90</v>
      </c>
      <c r="H1191" s="6" t="s">
        <v>54</v>
      </c>
      <c r="I1191" s="8" t="s">
        <v>40</v>
      </c>
      <c r="J1191" s="9">
        <v>1</v>
      </c>
      <c r="K1191" s="9">
        <v>532</v>
      </c>
      <c r="L1191" s="9">
        <v>2025</v>
      </c>
      <c r="M1191" s="8" t="s">
        <v>7651</v>
      </c>
      <c r="N1191" s="8" t="s">
        <v>125</v>
      </c>
      <c r="O1191" s="8" t="s">
        <v>352</v>
      </c>
      <c r="P1191" s="6" t="s">
        <v>58</v>
      </c>
      <c r="Q1191" s="8" t="s">
        <v>45</v>
      </c>
      <c r="R1191" s="10" t="s">
        <v>108</v>
      </c>
      <c r="S1191" s="11" t="s">
        <v>7652</v>
      </c>
      <c r="T1191" s="6"/>
      <c r="U1191" s="24" t="str">
        <f>HYPERLINK("https://media.infra-m.ru/2145/2145076/cover/2145076.jpg", "Обложка")</f>
        <v>Обложка</v>
      </c>
      <c r="V1191" s="24" t="str">
        <f>HYPERLINK("https://znanium.ru/catalog/product/1932344", "Ознакомиться")</f>
        <v>Ознакомиться</v>
      </c>
      <c r="W1191" s="8" t="s">
        <v>7653</v>
      </c>
      <c r="X1191" s="6"/>
      <c r="Y1191" s="6"/>
      <c r="Z1191" s="6" t="s">
        <v>48</v>
      </c>
      <c r="AA1191" s="6" t="s">
        <v>500</v>
      </c>
      <c r="AB1191" s="8"/>
    </row>
    <row r="1192" spans="1:28" s="4" customFormat="1" ht="51.95" customHeight="1">
      <c r="A1192" s="5">
        <v>0</v>
      </c>
      <c r="B1192" s="6" t="s">
        <v>7654</v>
      </c>
      <c r="C1192" s="7">
        <v>3210</v>
      </c>
      <c r="D1192" s="8" t="s">
        <v>7655</v>
      </c>
      <c r="E1192" s="8" t="s">
        <v>7656</v>
      </c>
      <c r="F1192" s="8" t="s">
        <v>7657</v>
      </c>
      <c r="G1192" s="6" t="s">
        <v>38</v>
      </c>
      <c r="H1192" s="6" t="s">
        <v>54</v>
      </c>
      <c r="I1192" s="8" t="s">
        <v>40</v>
      </c>
      <c r="J1192" s="9">
        <v>1</v>
      </c>
      <c r="K1192" s="9">
        <v>583</v>
      </c>
      <c r="L1192" s="9">
        <v>2026</v>
      </c>
      <c r="M1192" s="8" t="s">
        <v>7658</v>
      </c>
      <c r="N1192" s="8" t="s">
        <v>125</v>
      </c>
      <c r="O1192" s="8" t="s">
        <v>352</v>
      </c>
      <c r="P1192" s="6" t="s">
        <v>58</v>
      </c>
      <c r="Q1192" s="8" t="s">
        <v>45</v>
      </c>
      <c r="R1192" s="10" t="s">
        <v>108</v>
      </c>
      <c r="S1192" s="11" t="s">
        <v>7652</v>
      </c>
      <c r="T1192" s="6"/>
      <c r="U1192" s="24" t="str">
        <f>HYPERLINK("https://media.infra-m.ru/2225/2225208/cover/2225208.jpg", "Обложка")</f>
        <v>Обложка</v>
      </c>
      <c r="V1192" s="24" t="str">
        <f>HYPERLINK("https://znanium.ru/catalog/product/2225208", "Ознакомиться")</f>
        <v>Ознакомиться</v>
      </c>
      <c r="W1192" s="8" t="s">
        <v>850</v>
      </c>
      <c r="X1192" s="6"/>
      <c r="Y1192" s="6"/>
      <c r="Z1192" s="6" t="s">
        <v>48</v>
      </c>
      <c r="AA1192" s="6" t="s">
        <v>102</v>
      </c>
      <c r="AB1192" s="8" t="s">
        <v>7659</v>
      </c>
    </row>
    <row r="1193" spans="1:28" s="4" customFormat="1" ht="51.95" customHeight="1">
      <c r="A1193" s="5">
        <v>0</v>
      </c>
      <c r="B1193" s="6" t="s">
        <v>7660</v>
      </c>
      <c r="C1193" s="7">
        <v>1894</v>
      </c>
      <c r="D1193" s="8" t="s">
        <v>7661</v>
      </c>
      <c r="E1193" s="8" t="s">
        <v>7662</v>
      </c>
      <c r="F1193" s="8" t="s">
        <v>7663</v>
      </c>
      <c r="G1193" s="6" t="s">
        <v>90</v>
      </c>
      <c r="H1193" s="6" t="s">
        <v>54</v>
      </c>
      <c r="I1193" s="8" t="s">
        <v>40</v>
      </c>
      <c r="J1193" s="9">
        <v>1</v>
      </c>
      <c r="K1193" s="9">
        <v>380</v>
      </c>
      <c r="L1193" s="9">
        <v>2024</v>
      </c>
      <c r="M1193" s="8" t="s">
        <v>7664</v>
      </c>
      <c r="N1193" s="8" t="s">
        <v>125</v>
      </c>
      <c r="O1193" s="8" t="s">
        <v>352</v>
      </c>
      <c r="P1193" s="6" t="s">
        <v>58</v>
      </c>
      <c r="Q1193" s="8" t="s">
        <v>45</v>
      </c>
      <c r="R1193" s="10" t="s">
        <v>7665</v>
      </c>
      <c r="S1193" s="11" t="s">
        <v>7666</v>
      </c>
      <c r="T1193" s="6"/>
      <c r="U1193" s="24" t="str">
        <f>HYPERLINK("https://media.infra-m.ru/2187/2187011/cover/2187011.jpg", "Обложка")</f>
        <v>Обложка</v>
      </c>
      <c r="V1193" s="24" t="str">
        <f>HYPERLINK("https://znanium.ru/catalog/product/2083090", "Ознакомиться")</f>
        <v>Ознакомиться</v>
      </c>
      <c r="W1193" s="8" t="s">
        <v>7667</v>
      </c>
      <c r="X1193" s="6"/>
      <c r="Y1193" s="6"/>
      <c r="Z1193" s="6" t="s">
        <v>207</v>
      </c>
      <c r="AA1193" s="6" t="s">
        <v>500</v>
      </c>
      <c r="AB1193" s="8"/>
    </row>
    <row r="1194" spans="1:28" s="4" customFormat="1" ht="42" customHeight="1">
      <c r="A1194" s="5">
        <v>0</v>
      </c>
      <c r="B1194" s="6" t="s">
        <v>7668</v>
      </c>
      <c r="C1194" s="7">
        <v>1940</v>
      </c>
      <c r="D1194" s="8" t="s">
        <v>7669</v>
      </c>
      <c r="E1194" s="8" t="s">
        <v>7670</v>
      </c>
      <c r="F1194" s="8" t="s">
        <v>7671</v>
      </c>
      <c r="G1194" s="6" t="s">
        <v>90</v>
      </c>
      <c r="H1194" s="6" t="s">
        <v>359</v>
      </c>
      <c r="I1194" s="8" t="s">
        <v>40</v>
      </c>
      <c r="J1194" s="9">
        <v>1</v>
      </c>
      <c r="K1194" s="9">
        <v>352</v>
      </c>
      <c r="L1194" s="9">
        <v>2026</v>
      </c>
      <c r="M1194" s="8" t="s">
        <v>7672</v>
      </c>
      <c r="N1194" s="8" t="s">
        <v>125</v>
      </c>
      <c r="O1194" s="8" t="s">
        <v>352</v>
      </c>
      <c r="P1194" s="6" t="s">
        <v>71</v>
      </c>
      <c r="Q1194" s="8" t="s">
        <v>45</v>
      </c>
      <c r="R1194" s="10" t="s">
        <v>108</v>
      </c>
      <c r="S1194" s="11"/>
      <c r="T1194" s="6"/>
      <c r="U1194" s="24" t="str">
        <f>HYPERLINK("https://media.infra-m.ru/2225/2225212/cover/2225212.jpg", "Обложка")</f>
        <v>Обложка</v>
      </c>
      <c r="V1194" s="24" t="str">
        <f>HYPERLINK("https://znanium.ru/catalog/product/2225212", "Ознакомиться")</f>
        <v>Ознакомиться</v>
      </c>
      <c r="W1194" s="8" t="s">
        <v>361</v>
      </c>
      <c r="X1194" s="6"/>
      <c r="Y1194" s="6"/>
      <c r="Z1194" s="6" t="s">
        <v>48</v>
      </c>
      <c r="AA1194" s="6" t="s">
        <v>84</v>
      </c>
      <c r="AB1194" s="8"/>
    </row>
    <row r="1195" spans="1:28" s="4" customFormat="1" ht="51.95" customHeight="1">
      <c r="A1195" s="5">
        <v>0</v>
      </c>
      <c r="B1195" s="6" t="s">
        <v>7673</v>
      </c>
      <c r="C1195" s="7">
        <v>1060</v>
      </c>
      <c r="D1195" s="8" t="s">
        <v>7674</v>
      </c>
      <c r="E1195" s="8" t="s">
        <v>7675</v>
      </c>
      <c r="F1195" s="8" t="s">
        <v>1327</v>
      </c>
      <c r="G1195" s="6" t="s">
        <v>90</v>
      </c>
      <c r="H1195" s="6" t="s">
        <v>54</v>
      </c>
      <c r="I1195" s="8" t="s">
        <v>40</v>
      </c>
      <c r="J1195" s="9">
        <v>1</v>
      </c>
      <c r="K1195" s="9">
        <v>234</v>
      </c>
      <c r="L1195" s="9">
        <v>2023</v>
      </c>
      <c r="M1195" s="8" t="s">
        <v>7676</v>
      </c>
      <c r="N1195" s="8" t="s">
        <v>42</v>
      </c>
      <c r="O1195" s="8" t="s">
        <v>43</v>
      </c>
      <c r="P1195" s="6" t="s">
        <v>44</v>
      </c>
      <c r="Q1195" s="8" t="s">
        <v>45</v>
      </c>
      <c r="R1195" s="10" t="s">
        <v>7677</v>
      </c>
      <c r="S1195" s="11" t="s">
        <v>7678</v>
      </c>
      <c r="T1195" s="6"/>
      <c r="U1195" s="24" t="str">
        <f>HYPERLINK("https://media.infra-m.ru/2012/2012571/cover/2012571.jpg", "Обложка")</f>
        <v>Обложка</v>
      </c>
      <c r="V1195" s="24" t="str">
        <f>HYPERLINK("https://znanium.ru/catalog/product/2012571", "Ознакомиться")</f>
        <v>Ознакомиться</v>
      </c>
      <c r="W1195" s="8"/>
      <c r="X1195" s="6"/>
      <c r="Y1195" s="6"/>
      <c r="Z1195" s="6" t="s">
        <v>48</v>
      </c>
      <c r="AA1195" s="6" t="s">
        <v>223</v>
      </c>
      <c r="AB1195" s="8"/>
    </row>
    <row r="1196" spans="1:28" s="4" customFormat="1" ht="51.95" customHeight="1">
      <c r="A1196" s="5">
        <v>0</v>
      </c>
      <c r="B1196" s="6" t="s">
        <v>7679</v>
      </c>
      <c r="C1196" s="7">
        <v>1124</v>
      </c>
      <c r="D1196" s="8" t="s">
        <v>7680</v>
      </c>
      <c r="E1196" s="8" t="s">
        <v>7681</v>
      </c>
      <c r="F1196" s="8" t="s">
        <v>7682</v>
      </c>
      <c r="G1196" s="6" t="s">
        <v>38</v>
      </c>
      <c r="H1196" s="6" t="s">
        <v>54</v>
      </c>
      <c r="I1196" s="8" t="s">
        <v>40</v>
      </c>
      <c r="J1196" s="9">
        <v>1</v>
      </c>
      <c r="K1196" s="9">
        <v>248</v>
      </c>
      <c r="L1196" s="9">
        <v>2023</v>
      </c>
      <c r="M1196" s="8" t="s">
        <v>7683</v>
      </c>
      <c r="N1196" s="8" t="s">
        <v>42</v>
      </c>
      <c r="O1196" s="8" t="s">
        <v>43</v>
      </c>
      <c r="P1196" s="6" t="s">
        <v>44</v>
      </c>
      <c r="Q1196" s="8" t="s">
        <v>45</v>
      </c>
      <c r="R1196" s="10" t="s">
        <v>7684</v>
      </c>
      <c r="S1196" s="11" t="s">
        <v>943</v>
      </c>
      <c r="T1196" s="6"/>
      <c r="U1196" s="24" t="str">
        <f>HYPERLINK("https://media.infra-m.ru/2045/2045993/cover/2045993.jpg", "Обложка")</f>
        <v>Обложка</v>
      </c>
      <c r="V1196" s="24" t="str">
        <f>HYPERLINK("https://znanium.ru/catalog/product/1189952", "Ознакомиться")</f>
        <v>Ознакомиться</v>
      </c>
      <c r="W1196" s="8" t="s">
        <v>94</v>
      </c>
      <c r="X1196" s="6"/>
      <c r="Y1196" s="6"/>
      <c r="Z1196" s="6" t="s">
        <v>48</v>
      </c>
      <c r="AA1196" s="6" t="s">
        <v>740</v>
      </c>
      <c r="AB1196" s="8"/>
    </row>
    <row r="1197" spans="1:28" s="4" customFormat="1" ht="51.95" customHeight="1">
      <c r="A1197" s="5">
        <v>0</v>
      </c>
      <c r="B1197" s="6" t="s">
        <v>7685</v>
      </c>
      <c r="C1197" s="13">
        <v>910</v>
      </c>
      <c r="D1197" s="8" t="s">
        <v>7686</v>
      </c>
      <c r="E1197" s="8" t="s">
        <v>7687</v>
      </c>
      <c r="F1197" s="8" t="s">
        <v>7688</v>
      </c>
      <c r="G1197" s="6" t="s">
        <v>90</v>
      </c>
      <c r="H1197" s="6" t="s">
        <v>299</v>
      </c>
      <c r="I1197" s="8" t="s">
        <v>40</v>
      </c>
      <c r="J1197" s="9">
        <v>1</v>
      </c>
      <c r="K1197" s="9">
        <v>240</v>
      </c>
      <c r="L1197" s="9">
        <v>2022</v>
      </c>
      <c r="M1197" s="8" t="s">
        <v>7689</v>
      </c>
      <c r="N1197" s="8" t="s">
        <v>125</v>
      </c>
      <c r="O1197" s="8" t="s">
        <v>1630</v>
      </c>
      <c r="P1197" s="6" t="s">
        <v>58</v>
      </c>
      <c r="Q1197" s="8" t="s">
        <v>45</v>
      </c>
      <c r="R1197" s="10" t="s">
        <v>2315</v>
      </c>
      <c r="S1197" s="11" t="s">
        <v>1709</v>
      </c>
      <c r="T1197" s="6"/>
      <c r="U1197" s="24" t="str">
        <f>HYPERLINK("https://media.infra-m.ru/1850/1850732/cover/1850732.jpg", "Обложка")</f>
        <v>Обложка</v>
      </c>
      <c r="V1197" s="24" t="str">
        <f>HYPERLINK("https://znanium.ru/catalog/product/1850732", "Ознакомиться")</f>
        <v>Ознакомиться</v>
      </c>
      <c r="W1197" s="8" t="s">
        <v>73</v>
      </c>
      <c r="X1197" s="6"/>
      <c r="Y1197" s="6"/>
      <c r="Z1197" s="6" t="s">
        <v>48</v>
      </c>
      <c r="AA1197" s="6" t="s">
        <v>740</v>
      </c>
      <c r="AB1197" s="8"/>
    </row>
    <row r="1198" spans="1:28" s="4" customFormat="1" ht="51.95" customHeight="1">
      <c r="A1198" s="5">
        <v>0</v>
      </c>
      <c r="B1198" s="6" t="s">
        <v>7690</v>
      </c>
      <c r="C1198" s="7">
        <v>1144</v>
      </c>
      <c r="D1198" s="8" t="s">
        <v>7691</v>
      </c>
      <c r="E1198" s="8" t="s">
        <v>7692</v>
      </c>
      <c r="F1198" s="8" t="s">
        <v>7693</v>
      </c>
      <c r="G1198" s="6" t="s">
        <v>38</v>
      </c>
      <c r="H1198" s="6" t="s">
        <v>134</v>
      </c>
      <c r="I1198" s="8" t="s">
        <v>40</v>
      </c>
      <c r="J1198" s="9">
        <v>1</v>
      </c>
      <c r="K1198" s="9">
        <v>208</v>
      </c>
      <c r="L1198" s="9">
        <v>2026</v>
      </c>
      <c r="M1198" s="8" t="s">
        <v>7694</v>
      </c>
      <c r="N1198" s="8" t="s">
        <v>125</v>
      </c>
      <c r="O1198" s="8" t="s">
        <v>1630</v>
      </c>
      <c r="P1198" s="6" t="s">
        <v>44</v>
      </c>
      <c r="Q1198" s="8" t="s">
        <v>45</v>
      </c>
      <c r="R1198" s="10" t="s">
        <v>7695</v>
      </c>
      <c r="S1198" s="11" t="s">
        <v>3903</v>
      </c>
      <c r="T1198" s="6"/>
      <c r="U1198" s="24" t="str">
        <f>HYPERLINK("https://media.infra-m.ru/2226/2226546/cover/2226546.jpg", "Обложка")</f>
        <v>Обложка</v>
      </c>
      <c r="V1198" s="24" t="str">
        <f>HYPERLINK("https://znanium.ru/catalog/product/1043108", "Ознакомиться")</f>
        <v>Ознакомиться</v>
      </c>
      <c r="W1198" s="8"/>
      <c r="X1198" s="6"/>
      <c r="Y1198" s="6"/>
      <c r="Z1198" s="6" t="s">
        <v>48</v>
      </c>
      <c r="AA1198" s="6" t="s">
        <v>740</v>
      </c>
      <c r="AB1198" s="8"/>
    </row>
    <row r="1199" spans="1:28" s="4" customFormat="1" ht="51.95" customHeight="1">
      <c r="A1199" s="5">
        <v>0</v>
      </c>
      <c r="B1199" s="6" t="s">
        <v>7696</v>
      </c>
      <c r="C1199" s="13">
        <v>804</v>
      </c>
      <c r="D1199" s="8" t="s">
        <v>7697</v>
      </c>
      <c r="E1199" s="8" t="s">
        <v>7698</v>
      </c>
      <c r="F1199" s="8" t="s">
        <v>7699</v>
      </c>
      <c r="G1199" s="6" t="s">
        <v>67</v>
      </c>
      <c r="H1199" s="6" t="s">
        <v>39</v>
      </c>
      <c r="I1199" s="8" t="s">
        <v>79</v>
      </c>
      <c r="J1199" s="9">
        <v>1</v>
      </c>
      <c r="K1199" s="9">
        <v>176</v>
      </c>
      <c r="L1199" s="9">
        <v>2024</v>
      </c>
      <c r="M1199" s="8" t="s">
        <v>7700</v>
      </c>
      <c r="N1199" s="8" t="s">
        <v>125</v>
      </c>
      <c r="O1199" s="8" t="s">
        <v>1630</v>
      </c>
      <c r="P1199" s="6" t="s">
        <v>44</v>
      </c>
      <c r="Q1199" s="8" t="s">
        <v>45</v>
      </c>
      <c r="R1199" s="10" t="s">
        <v>7701</v>
      </c>
      <c r="S1199" s="11" t="s">
        <v>7702</v>
      </c>
      <c r="T1199" s="6"/>
      <c r="U1199" s="24" t="str">
        <f>HYPERLINK("https://media.infra-m.ru/2103/2103138/cover/2103138.jpg", "Обложка")</f>
        <v>Обложка</v>
      </c>
      <c r="V1199" s="24" t="str">
        <f>HYPERLINK("https://znanium.ru/catalog/product/1012453", "Ознакомиться")</f>
        <v>Ознакомиться</v>
      </c>
      <c r="W1199" s="8" t="s">
        <v>1392</v>
      </c>
      <c r="X1199" s="6"/>
      <c r="Y1199" s="6"/>
      <c r="Z1199" s="6"/>
      <c r="AA1199" s="6" t="s">
        <v>1644</v>
      </c>
      <c r="AB1199" s="8"/>
    </row>
    <row r="1200" spans="1:28" s="4" customFormat="1" ht="51.95" customHeight="1">
      <c r="A1200" s="5">
        <v>0</v>
      </c>
      <c r="B1200" s="6" t="s">
        <v>7703</v>
      </c>
      <c r="C1200" s="13">
        <v>794.9</v>
      </c>
      <c r="D1200" s="8" t="s">
        <v>7704</v>
      </c>
      <c r="E1200" s="8" t="s">
        <v>7705</v>
      </c>
      <c r="F1200" s="8" t="s">
        <v>7706</v>
      </c>
      <c r="G1200" s="6" t="s">
        <v>67</v>
      </c>
      <c r="H1200" s="6" t="s">
        <v>39</v>
      </c>
      <c r="I1200" s="8" t="s">
        <v>7707</v>
      </c>
      <c r="J1200" s="9">
        <v>1</v>
      </c>
      <c r="K1200" s="9">
        <v>176</v>
      </c>
      <c r="L1200" s="9">
        <v>2023</v>
      </c>
      <c r="M1200" s="8" t="s">
        <v>7708</v>
      </c>
      <c r="N1200" s="8" t="s">
        <v>125</v>
      </c>
      <c r="O1200" s="8" t="s">
        <v>1630</v>
      </c>
      <c r="P1200" s="6" t="s">
        <v>44</v>
      </c>
      <c r="Q1200" s="8" t="s">
        <v>45</v>
      </c>
      <c r="R1200" s="10" t="s">
        <v>7709</v>
      </c>
      <c r="S1200" s="11" t="s">
        <v>7702</v>
      </c>
      <c r="T1200" s="6"/>
      <c r="U1200" s="24" t="str">
        <f>HYPERLINK("https://media.infra-m.ru/1981/1981705/cover/1981705.jpg", "Обложка")</f>
        <v>Обложка</v>
      </c>
      <c r="V1200" s="24" t="str">
        <f>HYPERLINK("https://znanium.ru/catalog/product/1012430", "Ознакомиться")</f>
        <v>Ознакомиться</v>
      </c>
      <c r="W1200" s="8" t="s">
        <v>1392</v>
      </c>
      <c r="X1200" s="6"/>
      <c r="Y1200" s="6"/>
      <c r="Z1200" s="6"/>
      <c r="AA1200" s="6" t="s">
        <v>1644</v>
      </c>
      <c r="AB1200" s="8"/>
    </row>
    <row r="1201" spans="1:28" s="4" customFormat="1" ht="51.95" customHeight="1">
      <c r="A1201" s="5">
        <v>0</v>
      </c>
      <c r="B1201" s="6" t="s">
        <v>7710</v>
      </c>
      <c r="C1201" s="7">
        <v>1154</v>
      </c>
      <c r="D1201" s="8" t="s">
        <v>7711</v>
      </c>
      <c r="E1201" s="8" t="s">
        <v>7712</v>
      </c>
      <c r="F1201" s="8" t="s">
        <v>7713</v>
      </c>
      <c r="G1201" s="6" t="s">
        <v>90</v>
      </c>
      <c r="H1201" s="6" t="s">
        <v>54</v>
      </c>
      <c r="I1201" s="8" t="s">
        <v>40</v>
      </c>
      <c r="J1201" s="9">
        <v>1</v>
      </c>
      <c r="K1201" s="9">
        <v>231</v>
      </c>
      <c r="L1201" s="9">
        <v>2025</v>
      </c>
      <c r="M1201" s="8" t="s">
        <v>7714</v>
      </c>
      <c r="N1201" s="8" t="s">
        <v>125</v>
      </c>
      <c r="O1201" s="8" t="s">
        <v>1630</v>
      </c>
      <c r="P1201" s="6" t="s">
        <v>58</v>
      </c>
      <c r="Q1201" s="8" t="s">
        <v>45</v>
      </c>
      <c r="R1201" s="10" t="s">
        <v>7715</v>
      </c>
      <c r="S1201" s="11" t="s">
        <v>7716</v>
      </c>
      <c r="T1201" s="6"/>
      <c r="U1201" s="24" t="str">
        <f>HYPERLINK("https://media.infra-m.ru/2186/2186863/cover/2186863.jpg", "Обложка")</f>
        <v>Обложка</v>
      </c>
      <c r="V1201" s="24" t="str">
        <f>HYPERLINK("https://znanium.ru/catalog/product/2110477", "Ознакомиться")</f>
        <v>Ознакомиться</v>
      </c>
      <c r="W1201" s="8" t="s">
        <v>1310</v>
      </c>
      <c r="X1201" s="6"/>
      <c r="Y1201" s="6"/>
      <c r="Z1201" s="6" t="s">
        <v>48</v>
      </c>
      <c r="AA1201" s="6" t="s">
        <v>1027</v>
      </c>
      <c r="AB1201" s="8"/>
    </row>
    <row r="1202" spans="1:28" s="4" customFormat="1" ht="51.95" customHeight="1">
      <c r="A1202" s="5">
        <v>0</v>
      </c>
      <c r="B1202" s="6" t="s">
        <v>7717</v>
      </c>
      <c r="C1202" s="13">
        <v>733.4</v>
      </c>
      <c r="D1202" s="8" t="s">
        <v>7718</v>
      </c>
      <c r="E1202" s="8" t="s">
        <v>7719</v>
      </c>
      <c r="F1202" s="8" t="s">
        <v>7720</v>
      </c>
      <c r="G1202" s="6" t="s">
        <v>90</v>
      </c>
      <c r="H1202" s="6" t="s">
        <v>54</v>
      </c>
      <c r="I1202" s="8" t="s">
        <v>40</v>
      </c>
      <c r="J1202" s="9">
        <v>1</v>
      </c>
      <c r="K1202" s="9">
        <v>176</v>
      </c>
      <c r="L1202" s="9">
        <v>2022</v>
      </c>
      <c r="M1202" s="8" t="s">
        <v>7721</v>
      </c>
      <c r="N1202" s="8" t="s">
        <v>125</v>
      </c>
      <c r="O1202" s="8" t="s">
        <v>1630</v>
      </c>
      <c r="P1202" s="6" t="s">
        <v>44</v>
      </c>
      <c r="Q1202" s="8" t="s">
        <v>45</v>
      </c>
      <c r="R1202" s="10" t="s">
        <v>7722</v>
      </c>
      <c r="S1202" s="11" t="s">
        <v>7723</v>
      </c>
      <c r="T1202" s="6"/>
      <c r="U1202" s="24" t="str">
        <f>HYPERLINK("https://media.infra-m.ru/1853/1853773/cover/1853773.jpg", "Обложка")</f>
        <v>Обложка</v>
      </c>
      <c r="V1202" s="24" t="str">
        <f>HYPERLINK("https://znanium.ru/catalog/product/1853773", "Ознакомиться")</f>
        <v>Ознакомиться</v>
      </c>
      <c r="W1202" s="8" t="s">
        <v>146</v>
      </c>
      <c r="X1202" s="6"/>
      <c r="Y1202" s="6"/>
      <c r="Z1202" s="6" t="s">
        <v>48</v>
      </c>
      <c r="AA1202" s="6" t="s">
        <v>740</v>
      </c>
      <c r="AB1202" s="8"/>
    </row>
    <row r="1203" spans="1:28" s="4" customFormat="1" ht="51.95" customHeight="1">
      <c r="A1203" s="5">
        <v>0</v>
      </c>
      <c r="B1203" s="6" t="s">
        <v>7724</v>
      </c>
      <c r="C1203" s="7">
        <v>1124</v>
      </c>
      <c r="D1203" s="8" t="s">
        <v>7725</v>
      </c>
      <c r="E1203" s="8" t="s">
        <v>7726</v>
      </c>
      <c r="F1203" s="8" t="s">
        <v>7727</v>
      </c>
      <c r="G1203" s="6" t="s">
        <v>90</v>
      </c>
      <c r="H1203" s="6" t="s">
        <v>39</v>
      </c>
      <c r="I1203" s="8" t="s">
        <v>40</v>
      </c>
      <c r="J1203" s="9">
        <v>1</v>
      </c>
      <c r="K1203" s="9">
        <v>217</v>
      </c>
      <c r="L1203" s="9">
        <v>2025</v>
      </c>
      <c r="M1203" s="8" t="s">
        <v>7728</v>
      </c>
      <c r="N1203" s="8" t="s">
        <v>125</v>
      </c>
      <c r="O1203" s="8" t="s">
        <v>1630</v>
      </c>
      <c r="P1203" s="6" t="s">
        <v>44</v>
      </c>
      <c r="Q1203" s="8" t="s">
        <v>45</v>
      </c>
      <c r="R1203" s="10" t="s">
        <v>7729</v>
      </c>
      <c r="S1203" s="11" t="s">
        <v>1106</v>
      </c>
      <c r="T1203" s="6"/>
      <c r="U1203" s="24" t="str">
        <f>HYPERLINK("https://media.infra-m.ru/2196/2196857/cover/2196857.jpg", "Обложка")</f>
        <v>Обложка</v>
      </c>
      <c r="V1203" s="24" t="str">
        <f>HYPERLINK("https://znanium.ru/catalog/product/2015303", "Ознакомиться")</f>
        <v>Ознакомиться</v>
      </c>
      <c r="W1203" s="8" t="s">
        <v>82</v>
      </c>
      <c r="X1203" s="6"/>
      <c r="Y1203" s="6" t="s">
        <v>30</v>
      </c>
      <c r="Z1203" s="6"/>
      <c r="AA1203" s="6" t="s">
        <v>5679</v>
      </c>
      <c r="AB1203" s="8"/>
    </row>
    <row r="1204" spans="1:28" s="4" customFormat="1" ht="51.95" customHeight="1">
      <c r="A1204" s="5">
        <v>0</v>
      </c>
      <c r="B1204" s="6" t="s">
        <v>7730</v>
      </c>
      <c r="C1204" s="7">
        <v>1430</v>
      </c>
      <c r="D1204" s="8" t="s">
        <v>7731</v>
      </c>
      <c r="E1204" s="8" t="s">
        <v>7732</v>
      </c>
      <c r="F1204" s="8" t="s">
        <v>3181</v>
      </c>
      <c r="G1204" s="6" t="s">
        <v>38</v>
      </c>
      <c r="H1204" s="6" t="s">
        <v>54</v>
      </c>
      <c r="I1204" s="8" t="s">
        <v>40</v>
      </c>
      <c r="J1204" s="9">
        <v>1</v>
      </c>
      <c r="K1204" s="9">
        <v>386</v>
      </c>
      <c r="L1204" s="9">
        <v>2021</v>
      </c>
      <c r="M1204" s="8" t="s">
        <v>7733</v>
      </c>
      <c r="N1204" s="8" t="s">
        <v>125</v>
      </c>
      <c r="O1204" s="8" t="s">
        <v>126</v>
      </c>
      <c r="P1204" s="6" t="s">
        <v>44</v>
      </c>
      <c r="Q1204" s="8" t="s">
        <v>45</v>
      </c>
      <c r="R1204" s="10" t="s">
        <v>660</v>
      </c>
      <c r="S1204" s="11" t="s">
        <v>7734</v>
      </c>
      <c r="T1204" s="6"/>
      <c r="U1204" s="24" t="str">
        <f>HYPERLINK("https://media.infra-m.ru/1480/1480100/cover/1480100.jpg", "Обложка")</f>
        <v>Обложка</v>
      </c>
      <c r="V1204" s="24" t="str">
        <f>HYPERLINK("https://znanium.ru/catalog/product/1480100", "Ознакомиться")</f>
        <v>Ознакомиться</v>
      </c>
      <c r="W1204" s="8" t="s">
        <v>94</v>
      </c>
      <c r="X1204" s="6"/>
      <c r="Y1204" s="6"/>
      <c r="Z1204" s="6" t="s">
        <v>48</v>
      </c>
      <c r="AA1204" s="6" t="s">
        <v>223</v>
      </c>
      <c r="AB1204" s="8"/>
    </row>
    <row r="1205" spans="1:28" s="4" customFormat="1" ht="51.95" customHeight="1">
      <c r="A1205" s="5">
        <v>0</v>
      </c>
      <c r="B1205" s="6" t="s">
        <v>7735</v>
      </c>
      <c r="C1205" s="7">
        <v>1684</v>
      </c>
      <c r="D1205" s="8" t="s">
        <v>7736</v>
      </c>
      <c r="E1205" s="8" t="s">
        <v>7737</v>
      </c>
      <c r="F1205" s="8" t="s">
        <v>7738</v>
      </c>
      <c r="G1205" s="6" t="s">
        <v>90</v>
      </c>
      <c r="H1205" s="6" t="s">
        <v>299</v>
      </c>
      <c r="I1205" s="8" t="s">
        <v>40</v>
      </c>
      <c r="J1205" s="9">
        <v>1</v>
      </c>
      <c r="K1205" s="9">
        <v>336</v>
      </c>
      <c r="L1205" s="9">
        <v>2024</v>
      </c>
      <c r="M1205" s="8" t="s">
        <v>7739</v>
      </c>
      <c r="N1205" s="8" t="s">
        <v>125</v>
      </c>
      <c r="O1205" s="8" t="s">
        <v>1630</v>
      </c>
      <c r="P1205" s="6" t="s">
        <v>58</v>
      </c>
      <c r="Q1205" s="8" t="s">
        <v>45</v>
      </c>
      <c r="R1205" s="10" t="s">
        <v>7740</v>
      </c>
      <c r="S1205" s="11" t="s">
        <v>512</v>
      </c>
      <c r="T1205" s="6"/>
      <c r="U1205" s="24" t="str">
        <f>HYPERLINK("https://media.infra-m.ru/2180/2180758/cover/2180758.jpg", "Обложка")</f>
        <v>Обложка</v>
      </c>
      <c r="V1205" s="24" t="str">
        <f>HYPERLINK("https://znanium.ru/catalog/product/2160249", "Ознакомиться")</f>
        <v>Ознакомиться</v>
      </c>
      <c r="W1205" s="8" t="s">
        <v>7741</v>
      </c>
      <c r="X1205" s="6"/>
      <c r="Y1205" s="6" t="s">
        <v>30</v>
      </c>
      <c r="Z1205" s="6"/>
      <c r="AA1205" s="6" t="s">
        <v>237</v>
      </c>
      <c r="AB1205" s="8"/>
    </row>
    <row r="1206" spans="1:28" s="4" customFormat="1" ht="51.95" customHeight="1">
      <c r="A1206" s="5">
        <v>0</v>
      </c>
      <c r="B1206" s="6" t="s">
        <v>7742</v>
      </c>
      <c r="C1206" s="7">
        <v>1684</v>
      </c>
      <c r="D1206" s="8" t="s">
        <v>7743</v>
      </c>
      <c r="E1206" s="8" t="s">
        <v>7744</v>
      </c>
      <c r="F1206" s="8" t="s">
        <v>7745</v>
      </c>
      <c r="G1206" s="6" t="s">
        <v>38</v>
      </c>
      <c r="H1206" s="6" t="s">
        <v>54</v>
      </c>
      <c r="I1206" s="8" t="s">
        <v>40</v>
      </c>
      <c r="J1206" s="9">
        <v>1</v>
      </c>
      <c r="K1206" s="9">
        <v>315</v>
      </c>
      <c r="L1206" s="9">
        <v>2024</v>
      </c>
      <c r="M1206" s="8" t="s">
        <v>7746</v>
      </c>
      <c r="N1206" s="8" t="s">
        <v>125</v>
      </c>
      <c r="O1206" s="8" t="s">
        <v>1630</v>
      </c>
      <c r="P1206" s="6" t="s">
        <v>58</v>
      </c>
      <c r="Q1206" s="8" t="s">
        <v>45</v>
      </c>
      <c r="R1206" s="10" t="s">
        <v>7740</v>
      </c>
      <c r="S1206" s="11"/>
      <c r="T1206" s="6"/>
      <c r="U1206" s="24" t="str">
        <f>HYPERLINK("https://media.infra-m.ru/2188/2188155/cover/2188155.jpg", "Обложка")</f>
        <v>Обложка</v>
      </c>
      <c r="V1206" s="24" t="str">
        <f>HYPERLINK("https://znanium.ru/catalog/product/2160249", "Ознакомиться")</f>
        <v>Ознакомиться</v>
      </c>
      <c r="W1206" s="8" t="s">
        <v>7741</v>
      </c>
      <c r="X1206" s="6"/>
      <c r="Y1206" s="6" t="s">
        <v>30</v>
      </c>
      <c r="Z1206" s="6"/>
      <c r="AA1206" s="6" t="s">
        <v>49</v>
      </c>
      <c r="AB1206" s="8"/>
    </row>
    <row r="1207" spans="1:28" s="4" customFormat="1" ht="51.95" customHeight="1">
      <c r="A1207" s="5">
        <v>0</v>
      </c>
      <c r="B1207" s="6" t="s">
        <v>7747</v>
      </c>
      <c r="C1207" s="7">
        <v>1554</v>
      </c>
      <c r="D1207" s="8" t="s">
        <v>7748</v>
      </c>
      <c r="E1207" s="8" t="s">
        <v>7749</v>
      </c>
      <c r="F1207" s="8" t="s">
        <v>7750</v>
      </c>
      <c r="G1207" s="6" t="s">
        <v>90</v>
      </c>
      <c r="H1207" s="6" t="s">
        <v>54</v>
      </c>
      <c r="I1207" s="8" t="s">
        <v>40</v>
      </c>
      <c r="J1207" s="9">
        <v>1</v>
      </c>
      <c r="K1207" s="9">
        <v>345</v>
      </c>
      <c r="L1207" s="9">
        <v>2023</v>
      </c>
      <c r="M1207" s="8" t="s">
        <v>7751</v>
      </c>
      <c r="N1207" s="8" t="s">
        <v>42</v>
      </c>
      <c r="O1207" s="8" t="s">
        <v>43</v>
      </c>
      <c r="P1207" s="6" t="s">
        <v>44</v>
      </c>
      <c r="Q1207" s="8" t="s">
        <v>45</v>
      </c>
      <c r="R1207" s="10" t="s">
        <v>7752</v>
      </c>
      <c r="S1207" s="11" t="s">
        <v>943</v>
      </c>
      <c r="T1207" s="6"/>
      <c r="U1207" s="24" t="str">
        <f>HYPERLINK("https://media.infra-m.ru/1989/1989254/cover/1989254.jpg", "Обложка")</f>
        <v>Обложка</v>
      </c>
      <c r="V1207" s="24" t="str">
        <f>HYPERLINK("https://znanium.ru/catalog/product/1189953", "Ознакомиться")</f>
        <v>Ознакомиться</v>
      </c>
      <c r="W1207" s="8" t="s">
        <v>94</v>
      </c>
      <c r="X1207" s="6"/>
      <c r="Y1207" s="6"/>
      <c r="Z1207" s="6" t="s">
        <v>48</v>
      </c>
      <c r="AA1207" s="6" t="s">
        <v>740</v>
      </c>
      <c r="AB1207" s="8"/>
    </row>
    <row r="1208" spans="1:28" s="4" customFormat="1" ht="51.95" customHeight="1">
      <c r="A1208" s="5">
        <v>0</v>
      </c>
      <c r="B1208" s="6" t="s">
        <v>7753</v>
      </c>
      <c r="C1208" s="13">
        <v>924</v>
      </c>
      <c r="D1208" s="8" t="s">
        <v>7754</v>
      </c>
      <c r="E1208" s="8" t="s">
        <v>7755</v>
      </c>
      <c r="F1208" s="8" t="s">
        <v>7756</v>
      </c>
      <c r="G1208" s="6" t="s">
        <v>67</v>
      </c>
      <c r="H1208" s="6" t="s">
        <v>39</v>
      </c>
      <c r="I1208" s="8" t="s">
        <v>69</v>
      </c>
      <c r="J1208" s="9">
        <v>1</v>
      </c>
      <c r="K1208" s="9">
        <v>184</v>
      </c>
      <c r="L1208" s="9">
        <v>2025</v>
      </c>
      <c r="M1208" s="8" t="s">
        <v>7757</v>
      </c>
      <c r="N1208" s="8" t="s">
        <v>125</v>
      </c>
      <c r="O1208" s="8" t="s">
        <v>1630</v>
      </c>
      <c r="P1208" s="6" t="s">
        <v>44</v>
      </c>
      <c r="Q1208" s="8" t="s">
        <v>45</v>
      </c>
      <c r="R1208" s="10" t="s">
        <v>7758</v>
      </c>
      <c r="S1208" s="11" t="s">
        <v>2555</v>
      </c>
      <c r="T1208" s="6"/>
      <c r="U1208" s="24" t="str">
        <f>HYPERLINK("https://media.infra-m.ru/2188/2188712/cover/2188712.jpg", "Обложка")</f>
        <v>Обложка</v>
      </c>
      <c r="V1208" s="24" t="str">
        <f>HYPERLINK("https://znanium.ru/catalog/product/2188712", "Ознакомиться")</f>
        <v>Ознакомиться</v>
      </c>
      <c r="W1208" s="8" t="s">
        <v>277</v>
      </c>
      <c r="X1208" s="6"/>
      <c r="Y1208" s="6"/>
      <c r="Z1208" s="6"/>
      <c r="AA1208" s="6" t="s">
        <v>278</v>
      </c>
      <c r="AB1208" s="8"/>
    </row>
    <row r="1209" spans="1:28" s="4" customFormat="1" ht="51.95" customHeight="1">
      <c r="A1209" s="5">
        <v>0</v>
      </c>
      <c r="B1209" s="6" t="s">
        <v>7759</v>
      </c>
      <c r="C1209" s="7">
        <v>1290</v>
      </c>
      <c r="D1209" s="8" t="s">
        <v>7760</v>
      </c>
      <c r="E1209" s="8" t="s">
        <v>7761</v>
      </c>
      <c r="F1209" s="8" t="s">
        <v>7762</v>
      </c>
      <c r="G1209" s="6" t="s">
        <v>90</v>
      </c>
      <c r="H1209" s="6" t="s">
        <v>54</v>
      </c>
      <c r="I1209" s="8" t="s">
        <v>40</v>
      </c>
      <c r="J1209" s="9">
        <v>1</v>
      </c>
      <c r="K1209" s="9">
        <v>248</v>
      </c>
      <c r="L1209" s="9">
        <v>2026</v>
      </c>
      <c r="M1209" s="8" t="s">
        <v>7763</v>
      </c>
      <c r="N1209" s="8" t="s">
        <v>42</v>
      </c>
      <c r="O1209" s="8" t="s">
        <v>187</v>
      </c>
      <c r="P1209" s="6" t="s">
        <v>44</v>
      </c>
      <c r="Q1209" s="8" t="s">
        <v>45</v>
      </c>
      <c r="R1209" s="10" t="s">
        <v>7764</v>
      </c>
      <c r="S1209" s="11" t="s">
        <v>7765</v>
      </c>
      <c r="T1209" s="6"/>
      <c r="U1209" s="24" t="str">
        <f>HYPERLINK("https://media.infra-m.ru/2214/2214740/cover/2214740.jpg", "Обложка")</f>
        <v>Обложка</v>
      </c>
      <c r="V1209" s="24" t="str">
        <f>HYPERLINK("https://znanium.ru/catalog/product/2214740", "Ознакомиться")</f>
        <v>Ознакомиться</v>
      </c>
      <c r="W1209" s="8" t="s">
        <v>3241</v>
      </c>
      <c r="X1209" s="6"/>
      <c r="Y1209" s="6"/>
      <c r="Z1209" s="6" t="s">
        <v>48</v>
      </c>
      <c r="AA1209" s="6" t="s">
        <v>563</v>
      </c>
      <c r="AB1209" s="8"/>
    </row>
    <row r="1210" spans="1:28" s="4" customFormat="1" ht="51.95" customHeight="1">
      <c r="A1210" s="5">
        <v>0</v>
      </c>
      <c r="B1210" s="6" t="s">
        <v>7766</v>
      </c>
      <c r="C1210" s="7">
        <v>1360</v>
      </c>
      <c r="D1210" s="8" t="s">
        <v>7767</v>
      </c>
      <c r="E1210" s="8" t="s">
        <v>7768</v>
      </c>
      <c r="F1210" s="8" t="s">
        <v>3848</v>
      </c>
      <c r="G1210" s="6" t="s">
        <v>90</v>
      </c>
      <c r="H1210" s="6" t="s">
        <v>39</v>
      </c>
      <c r="I1210" s="8" t="s">
        <v>40</v>
      </c>
      <c r="J1210" s="9">
        <v>1</v>
      </c>
      <c r="K1210" s="9">
        <v>256</v>
      </c>
      <c r="L1210" s="9">
        <v>2025</v>
      </c>
      <c r="M1210" s="8" t="s">
        <v>7769</v>
      </c>
      <c r="N1210" s="8" t="s">
        <v>125</v>
      </c>
      <c r="O1210" s="8" t="s">
        <v>1630</v>
      </c>
      <c r="P1210" s="6" t="s">
        <v>44</v>
      </c>
      <c r="Q1210" s="8" t="s">
        <v>45</v>
      </c>
      <c r="R1210" s="10" t="s">
        <v>7770</v>
      </c>
      <c r="S1210" s="11" t="s">
        <v>7771</v>
      </c>
      <c r="T1210" s="6"/>
      <c r="U1210" s="24" t="str">
        <f>HYPERLINK("https://media.infra-m.ru/2205/2205670/cover/2205670.jpg", "Обложка")</f>
        <v>Обложка</v>
      </c>
      <c r="V1210" s="24" t="str">
        <f>HYPERLINK("https://znanium.ru/catalog/product/2205670", "Ознакомиться")</f>
        <v>Ознакомиться</v>
      </c>
      <c r="W1210" s="8" t="s">
        <v>3009</v>
      </c>
      <c r="X1210" s="6"/>
      <c r="Y1210" s="6"/>
      <c r="Z1210" s="6" t="s">
        <v>207</v>
      </c>
      <c r="AA1210" s="6" t="s">
        <v>111</v>
      </c>
      <c r="AB1210" s="8"/>
    </row>
    <row r="1211" spans="1:28" s="4" customFormat="1" ht="51.95" customHeight="1">
      <c r="A1211" s="5">
        <v>0</v>
      </c>
      <c r="B1211" s="6" t="s">
        <v>7772</v>
      </c>
      <c r="C1211" s="7">
        <v>1890</v>
      </c>
      <c r="D1211" s="8" t="s">
        <v>7773</v>
      </c>
      <c r="E1211" s="8" t="s">
        <v>7774</v>
      </c>
      <c r="F1211" s="8" t="s">
        <v>7775</v>
      </c>
      <c r="G1211" s="6" t="s">
        <v>90</v>
      </c>
      <c r="H1211" s="6" t="s">
        <v>299</v>
      </c>
      <c r="I1211" s="8" t="s">
        <v>69</v>
      </c>
      <c r="J1211" s="9">
        <v>1</v>
      </c>
      <c r="K1211" s="9">
        <v>352</v>
      </c>
      <c r="L1211" s="9">
        <v>2025</v>
      </c>
      <c r="M1211" s="8" t="s">
        <v>7776</v>
      </c>
      <c r="N1211" s="8" t="s">
        <v>125</v>
      </c>
      <c r="O1211" s="8" t="s">
        <v>1630</v>
      </c>
      <c r="P1211" s="6" t="s">
        <v>58</v>
      </c>
      <c r="Q1211" s="8" t="s">
        <v>45</v>
      </c>
      <c r="R1211" s="10" t="s">
        <v>464</v>
      </c>
      <c r="S1211" s="11" t="s">
        <v>7777</v>
      </c>
      <c r="T1211" s="6"/>
      <c r="U1211" s="24" t="str">
        <f>HYPERLINK("https://media.infra-m.ru/2206/2206801/cover/2206801.jpg", "Обложка")</f>
        <v>Обложка</v>
      </c>
      <c r="V1211" s="24" t="str">
        <f>HYPERLINK("https://znanium.ru/catalog/product/2206801", "Ознакомиться")</f>
        <v>Ознакомиться</v>
      </c>
      <c r="W1211" s="8" t="s">
        <v>5272</v>
      </c>
      <c r="X1211" s="6"/>
      <c r="Y1211" s="6"/>
      <c r="Z1211" s="6"/>
      <c r="AA1211" s="6" t="s">
        <v>1526</v>
      </c>
      <c r="AB1211" s="8"/>
    </row>
    <row r="1212" spans="1:28" s="4" customFormat="1" ht="51.95" customHeight="1">
      <c r="A1212" s="5">
        <v>0</v>
      </c>
      <c r="B1212" s="6" t="s">
        <v>7778</v>
      </c>
      <c r="C1212" s="13">
        <v>824</v>
      </c>
      <c r="D1212" s="8" t="s">
        <v>7779</v>
      </c>
      <c r="E1212" s="8" t="s">
        <v>7780</v>
      </c>
      <c r="F1212" s="8" t="s">
        <v>7781</v>
      </c>
      <c r="G1212" s="6" t="s">
        <v>67</v>
      </c>
      <c r="H1212" s="6" t="s">
        <v>39</v>
      </c>
      <c r="I1212" s="8" t="s">
        <v>40</v>
      </c>
      <c r="J1212" s="9">
        <v>1</v>
      </c>
      <c r="K1212" s="9">
        <v>176</v>
      </c>
      <c r="L1212" s="9">
        <v>2024</v>
      </c>
      <c r="M1212" s="8" t="s">
        <v>7782</v>
      </c>
      <c r="N1212" s="8" t="s">
        <v>125</v>
      </c>
      <c r="O1212" s="8" t="s">
        <v>1630</v>
      </c>
      <c r="P1212" s="6" t="s">
        <v>44</v>
      </c>
      <c r="Q1212" s="8" t="s">
        <v>45</v>
      </c>
      <c r="R1212" s="10" t="s">
        <v>7783</v>
      </c>
      <c r="S1212" s="11" t="s">
        <v>1106</v>
      </c>
      <c r="T1212" s="6"/>
      <c r="U1212" s="24" t="str">
        <f>HYPERLINK("https://media.infra-m.ru/2139/2139114/cover/2139114.jpg", "Обложка")</f>
        <v>Обложка</v>
      </c>
      <c r="V1212" s="24" t="str">
        <f>HYPERLINK("https://znanium.ru/catalog/product/1836614", "Ознакомиться")</f>
        <v>Ознакомиться</v>
      </c>
      <c r="W1212" s="8"/>
      <c r="X1212" s="6"/>
      <c r="Y1212" s="6"/>
      <c r="Z1212" s="6"/>
      <c r="AA1212" s="6" t="s">
        <v>313</v>
      </c>
      <c r="AB1212" s="8"/>
    </row>
    <row r="1213" spans="1:28" s="4" customFormat="1" ht="51.95" customHeight="1">
      <c r="A1213" s="5">
        <v>0</v>
      </c>
      <c r="B1213" s="6" t="s">
        <v>7784</v>
      </c>
      <c r="C1213" s="7">
        <v>1110</v>
      </c>
      <c r="D1213" s="8" t="s">
        <v>7785</v>
      </c>
      <c r="E1213" s="8" t="s">
        <v>7786</v>
      </c>
      <c r="F1213" s="8" t="s">
        <v>7787</v>
      </c>
      <c r="G1213" s="6" t="s">
        <v>90</v>
      </c>
      <c r="H1213" s="6" t="s">
        <v>54</v>
      </c>
      <c r="I1213" s="8" t="s">
        <v>40</v>
      </c>
      <c r="J1213" s="9">
        <v>1</v>
      </c>
      <c r="K1213" s="9">
        <v>202</v>
      </c>
      <c r="L1213" s="9">
        <v>2026</v>
      </c>
      <c r="M1213" s="8" t="s">
        <v>7788</v>
      </c>
      <c r="N1213" s="8" t="s">
        <v>1306</v>
      </c>
      <c r="O1213" s="8" t="s">
        <v>1307</v>
      </c>
      <c r="P1213" s="6" t="s">
        <v>1285</v>
      </c>
      <c r="Q1213" s="8" t="s">
        <v>45</v>
      </c>
      <c r="R1213" s="10" t="s">
        <v>7789</v>
      </c>
      <c r="S1213" s="11" t="s">
        <v>7790</v>
      </c>
      <c r="T1213" s="6"/>
      <c r="U1213" s="24" t="str">
        <f>HYPERLINK("https://media.infra-m.ru/2210/2210351/cover/2210351.jpg", "Обложка")</f>
        <v>Обложка</v>
      </c>
      <c r="V1213" s="24" t="str">
        <f>HYPERLINK("https://znanium.ru/catalog/product/2210351", "Ознакомиться")</f>
        <v>Ознакомиться</v>
      </c>
      <c r="W1213" s="8" t="s">
        <v>47</v>
      </c>
      <c r="X1213" s="6"/>
      <c r="Y1213" s="6"/>
      <c r="Z1213" s="6" t="s">
        <v>48</v>
      </c>
      <c r="AA1213" s="6" t="s">
        <v>740</v>
      </c>
      <c r="AB1213" s="8"/>
    </row>
    <row r="1214" spans="1:28" s="4" customFormat="1" ht="42" customHeight="1">
      <c r="A1214" s="5">
        <v>0</v>
      </c>
      <c r="B1214" s="6" t="s">
        <v>7791</v>
      </c>
      <c r="C1214" s="7">
        <v>2134</v>
      </c>
      <c r="D1214" s="8" t="s">
        <v>7792</v>
      </c>
      <c r="E1214" s="8" t="s">
        <v>7793</v>
      </c>
      <c r="F1214" s="8" t="s">
        <v>7794</v>
      </c>
      <c r="G1214" s="6" t="s">
        <v>38</v>
      </c>
      <c r="H1214" s="6" t="s">
        <v>2781</v>
      </c>
      <c r="I1214" s="8" t="s">
        <v>40</v>
      </c>
      <c r="J1214" s="9">
        <v>1</v>
      </c>
      <c r="K1214" s="9">
        <v>464</v>
      </c>
      <c r="L1214" s="9">
        <v>2024</v>
      </c>
      <c r="M1214" s="8" t="s">
        <v>7795</v>
      </c>
      <c r="N1214" s="8" t="s">
        <v>56</v>
      </c>
      <c r="O1214" s="8" t="s">
        <v>57</v>
      </c>
      <c r="P1214" s="6" t="s">
        <v>44</v>
      </c>
      <c r="Q1214" s="8" t="s">
        <v>45</v>
      </c>
      <c r="R1214" s="10" t="s">
        <v>7796</v>
      </c>
      <c r="S1214" s="11"/>
      <c r="T1214" s="6"/>
      <c r="U1214" s="24" t="str">
        <f>HYPERLINK("https://media.infra-m.ru/2112/2112879/cover/2112879.jpg", "Обложка")</f>
        <v>Обложка</v>
      </c>
      <c r="V1214" s="24" t="str">
        <f>HYPERLINK("https://znanium.ru/catalog/product/1230037", "Ознакомиться")</f>
        <v>Ознакомиться</v>
      </c>
      <c r="W1214" s="8" t="s">
        <v>180</v>
      </c>
      <c r="X1214" s="6"/>
      <c r="Y1214" s="6"/>
      <c r="Z1214" s="6"/>
      <c r="AA1214" s="6" t="s">
        <v>261</v>
      </c>
      <c r="AB1214" s="8"/>
    </row>
    <row r="1215" spans="1:28" s="4" customFormat="1" ht="51.95" customHeight="1">
      <c r="A1215" s="5">
        <v>0</v>
      </c>
      <c r="B1215" s="6" t="s">
        <v>7797</v>
      </c>
      <c r="C1215" s="7">
        <v>1004</v>
      </c>
      <c r="D1215" s="8" t="s">
        <v>7798</v>
      </c>
      <c r="E1215" s="8" t="s">
        <v>7799</v>
      </c>
      <c r="F1215" s="8" t="s">
        <v>7800</v>
      </c>
      <c r="G1215" s="6" t="s">
        <v>67</v>
      </c>
      <c r="H1215" s="6" t="s">
        <v>299</v>
      </c>
      <c r="I1215" s="8" t="s">
        <v>69</v>
      </c>
      <c r="J1215" s="9">
        <v>1</v>
      </c>
      <c r="K1215" s="9">
        <v>192</v>
      </c>
      <c r="L1215" s="9">
        <v>2025</v>
      </c>
      <c r="M1215" s="8" t="s">
        <v>7801</v>
      </c>
      <c r="N1215" s="8" t="s">
        <v>42</v>
      </c>
      <c r="O1215" s="8" t="s">
        <v>243</v>
      </c>
      <c r="P1215" s="6" t="s">
        <v>44</v>
      </c>
      <c r="Q1215" s="8" t="s">
        <v>45</v>
      </c>
      <c r="R1215" s="10" t="s">
        <v>1875</v>
      </c>
      <c r="S1215" s="11" t="s">
        <v>7802</v>
      </c>
      <c r="T1215" s="6"/>
      <c r="U1215" s="24" t="str">
        <f>HYPERLINK("https://media.infra-m.ru/2178/2178341/cover/2178341.jpg", "Обложка")</f>
        <v>Обложка</v>
      </c>
      <c r="V1215" s="24" t="str">
        <f>HYPERLINK("https://znanium.ru/catalog/product/2178193", "Ознакомиться")</f>
        <v>Ознакомиться</v>
      </c>
      <c r="W1215" s="8" t="s">
        <v>312</v>
      </c>
      <c r="X1215" s="6"/>
      <c r="Y1215" s="6"/>
      <c r="Z1215" s="6"/>
      <c r="AA1215" s="6" t="s">
        <v>181</v>
      </c>
      <c r="AB1215" s="8"/>
    </row>
    <row r="1216" spans="1:28" s="4" customFormat="1" ht="51.95" customHeight="1">
      <c r="A1216" s="5">
        <v>0</v>
      </c>
      <c r="B1216" s="6" t="s">
        <v>7803</v>
      </c>
      <c r="C1216" s="7">
        <v>3350</v>
      </c>
      <c r="D1216" s="8" t="s">
        <v>7804</v>
      </c>
      <c r="E1216" s="8" t="s">
        <v>7805</v>
      </c>
      <c r="F1216" s="8" t="s">
        <v>7806</v>
      </c>
      <c r="G1216" s="6" t="s">
        <v>38</v>
      </c>
      <c r="H1216" s="6" t="s">
        <v>54</v>
      </c>
      <c r="I1216" s="8" t="s">
        <v>40</v>
      </c>
      <c r="J1216" s="9">
        <v>1</v>
      </c>
      <c r="K1216" s="9">
        <v>496</v>
      </c>
      <c r="L1216" s="9">
        <v>2026</v>
      </c>
      <c r="M1216" s="8" t="s">
        <v>7807</v>
      </c>
      <c r="N1216" s="8" t="s">
        <v>42</v>
      </c>
      <c r="O1216" s="8" t="s">
        <v>243</v>
      </c>
      <c r="P1216" s="6" t="s">
        <v>44</v>
      </c>
      <c r="Q1216" s="8" t="s">
        <v>45</v>
      </c>
      <c r="R1216" s="10" t="s">
        <v>7808</v>
      </c>
      <c r="S1216" s="11" t="s">
        <v>1106</v>
      </c>
      <c r="T1216" s="6"/>
      <c r="U1216" s="24" t="str">
        <f>HYPERLINK("https://media.infra-m.ru/2212/2212394/cover/2212394.jpg", "Обложка")</f>
        <v>Обложка</v>
      </c>
      <c r="V1216" s="24" t="str">
        <f>HYPERLINK("https://znanium.ru/catalog/product/2212394", "Ознакомиться")</f>
        <v>Ознакомиться</v>
      </c>
      <c r="W1216" s="8" t="s">
        <v>312</v>
      </c>
      <c r="X1216" s="6"/>
      <c r="Y1216" s="6"/>
      <c r="Z1216" s="6"/>
      <c r="AA1216" s="6" t="s">
        <v>237</v>
      </c>
      <c r="AB1216" s="8"/>
    </row>
    <row r="1217" spans="1:28" s="4" customFormat="1" ht="51.95" customHeight="1">
      <c r="A1217" s="5">
        <v>0</v>
      </c>
      <c r="B1217" s="6" t="s">
        <v>7809</v>
      </c>
      <c r="C1217" s="7">
        <v>1942</v>
      </c>
      <c r="D1217" s="8" t="s">
        <v>7810</v>
      </c>
      <c r="E1217" s="8" t="s">
        <v>7811</v>
      </c>
      <c r="F1217" s="8" t="s">
        <v>7812</v>
      </c>
      <c r="G1217" s="6" t="s">
        <v>90</v>
      </c>
      <c r="H1217" s="6" t="s">
        <v>54</v>
      </c>
      <c r="I1217" s="8"/>
      <c r="J1217" s="9">
        <v>1</v>
      </c>
      <c r="K1217" s="9">
        <v>286</v>
      </c>
      <c r="L1217" s="9">
        <v>2025</v>
      </c>
      <c r="M1217" s="8" t="s">
        <v>7813</v>
      </c>
      <c r="N1217" s="8" t="s">
        <v>42</v>
      </c>
      <c r="O1217" s="8" t="s">
        <v>243</v>
      </c>
      <c r="P1217" s="6" t="s">
        <v>44</v>
      </c>
      <c r="Q1217" s="8" t="s">
        <v>45</v>
      </c>
      <c r="R1217" s="10" t="s">
        <v>7814</v>
      </c>
      <c r="S1217" s="11" t="s">
        <v>1106</v>
      </c>
      <c r="T1217" s="6"/>
      <c r="U1217" s="24" t="str">
        <f>HYPERLINK("https://media.infra-m.ru/2184/2184931/cover/2184931.jpg", "Обложка")</f>
        <v>Обложка</v>
      </c>
      <c r="V1217" s="24" t="str">
        <f>HYPERLINK("https://znanium.ru/catalog/product/2184931", "Ознакомиться")</f>
        <v>Ознакомиться</v>
      </c>
      <c r="W1217" s="8" t="s">
        <v>7815</v>
      </c>
      <c r="X1217" s="6"/>
      <c r="Y1217" s="6"/>
      <c r="Z1217" s="6"/>
      <c r="AA1217" s="6" t="s">
        <v>1526</v>
      </c>
      <c r="AB1217" s="8"/>
    </row>
    <row r="1218" spans="1:28" s="4" customFormat="1" ht="51.95" customHeight="1">
      <c r="A1218" s="5">
        <v>0</v>
      </c>
      <c r="B1218" s="6" t="s">
        <v>7816</v>
      </c>
      <c r="C1218" s="7">
        <v>2064</v>
      </c>
      <c r="D1218" s="8" t="s">
        <v>7817</v>
      </c>
      <c r="E1218" s="8" t="s">
        <v>7818</v>
      </c>
      <c r="F1218" s="8" t="s">
        <v>2004</v>
      </c>
      <c r="G1218" s="6" t="s">
        <v>38</v>
      </c>
      <c r="H1218" s="6" t="s">
        <v>39</v>
      </c>
      <c r="I1218" s="8" t="s">
        <v>69</v>
      </c>
      <c r="J1218" s="9">
        <v>1</v>
      </c>
      <c r="K1218" s="9">
        <v>448</v>
      </c>
      <c r="L1218" s="9">
        <v>2023</v>
      </c>
      <c r="M1218" s="8" t="s">
        <v>7819</v>
      </c>
      <c r="N1218" s="8" t="s">
        <v>42</v>
      </c>
      <c r="O1218" s="8" t="s">
        <v>219</v>
      </c>
      <c r="P1218" s="6" t="s">
        <v>44</v>
      </c>
      <c r="Q1218" s="8" t="s">
        <v>45</v>
      </c>
      <c r="R1218" s="10" t="s">
        <v>7820</v>
      </c>
      <c r="S1218" s="11" t="s">
        <v>7821</v>
      </c>
      <c r="T1218" s="6"/>
      <c r="U1218" s="24" t="str">
        <f>HYPERLINK("https://media.infra-m.ru/1989/1989249/cover/1989249.jpg", "Обложка")</f>
        <v>Обложка</v>
      </c>
      <c r="V1218" s="24" t="str">
        <f>HYPERLINK("https://znanium.ru/catalog/product/1236301", "Ознакомиться")</f>
        <v>Ознакомиться</v>
      </c>
      <c r="W1218" s="8" t="s">
        <v>2007</v>
      </c>
      <c r="X1218" s="6"/>
      <c r="Y1218" s="6"/>
      <c r="Z1218" s="6"/>
      <c r="AA1218" s="6" t="s">
        <v>5050</v>
      </c>
      <c r="AB1218" s="8"/>
    </row>
    <row r="1219" spans="1:28" s="4" customFormat="1" ht="44.1" customHeight="1">
      <c r="A1219" s="5">
        <v>0</v>
      </c>
      <c r="B1219" s="6" t="s">
        <v>7822</v>
      </c>
      <c r="C1219" s="7">
        <v>1950</v>
      </c>
      <c r="D1219" s="8" t="s">
        <v>7823</v>
      </c>
      <c r="E1219" s="8" t="s">
        <v>7824</v>
      </c>
      <c r="F1219" s="8" t="s">
        <v>7825</v>
      </c>
      <c r="G1219" s="6" t="s">
        <v>90</v>
      </c>
      <c r="H1219" s="6" t="s">
        <v>824</v>
      </c>
      <c r="I1219" s="8" t="s">
        <v>40</v>
      </c>
      <c r="J1219" s="9">
        <v>1</v>
      </c>
      <c r="K1219" s="9">
        <v>376</v>
      </c>
      <c r="L1219" s="9">
        <v>2026</v>
      </c>
      <c r="M1219" s="8" t="s">
        <v>7826</v>
      </c>
      <c r="N1219" s="8" t="s">
        <v>42</v>
      </c>
      <c r="O1219" s="8" t="s">
        <v>243</v>
      </c>
      <c r="P1219" s="6" t="s">
        <v>44</v>
      </c>
      <c r="Q1219" s="8" t="s">
        <v>45</v>
      </c>
      <c r="R1219" s="10" t="s">
        <v>1882</v>
      </c>
      <c r="S1219" s="11"/>
      <c r="T1219" s="6"/>
      <c r="U1219" s="24" t="str">
        <f>HYPERLINK("https://media.infra-m.ru/2216/2216469/cover/2216469.jpg", "Обложка")</f>
        <v>Обложка</v>
      </c>
      <c r="V1219" s="24" t="str">
        <f>HYPERLINK("https://znanium.ru/catalog/product/2216469", "Ознакомиться")</f>
        <v>Ознакомиться</v>
      </c>
      <c r="W1219" s="8" t="s">
        <v>172</v>
      </c>
      <c r="X1219" s="6"/>
      <c r="Y1219" s="6"/>
      <c r="Z1219" s="6"/>
      <c r="AA1219" s="6" t="s">
        <v>766</v>
      </c>
      <c r="AB1219" s="8"/>
    </row>
    <row r="1220" spans="1:28" s="4" customFormat="1" ht="42" customHeight="1">
      <c r="A1220" s="5">
        <v>0</v>
      </c>
      <c r="B1220" s="6" t="s">
        <v>7827</v>
      </c>
      <c r="C1220" s="7">
        <v>1440</v>
      </c>
      <c r="D1220" s="8" t="s">
        <v>7828</v>
      </c>
      <c r="E1220" s="8" t="s">
        <v>7829</v>
      </c>
      <c r="F1220" s="8" t="s">
        <v>4337</v>
      </c>
      <c r="G1220" s="6" t="s">
        <v>90</v>
      </c>
      <c r="H1220" s="6" t="s">
        <v>824</v>
      </c>
      <c r="I1220" s="8" t="s">
        <v>40</v>
      </c>
      <c r="J1220" s="9">
        <v>1</v>
      </c>
      <c r="K1220" s="9">
        <v>320</v>
      </c>
      <c r="L1220" s="9">
        <v>2023</v>
      </c>
      <c r="M1220" s="8" t="s">
        <v>7830</v>
      </c>
      <c r="N1220" s="8" t="s">
        <v>42</v>
      </c>
      <c r="O1220" s="8" t="s">
        <v>43</v>
      </c>
      <c r="P1220" s="6" t="s">
        <v>58</v>
      </c>
      <c r="Q1220" s="8" t="s">
        <v>45</v>
      </c>
      <c r="R1220" s="10" t="s">
        <v>7831</v>
      </c>
      <c r="S1220" s="11"/>
      <c r="T1220" s="6"/>
      <c r="U1220" s="24" t="str">
        <f>HYPERLINK("https://media.infra-m.ru/2002/2002607/cover/2002607.jpg", "Обложка")</f>
        <v>Обложка</v>
      </c>
      <c r="V1220" s="24" t="str">
        <f>HYPERLINK("https://znanium.ru/catalog/product/2002607", "Ознакомиться")</f>
        <v>Ознакомиться</v>
      </c>
      <c r="W1220" s="8" t="s">
        <v>956</v>
      </c>
      <c r="X1220" s="6"/>
      <c r="Y1220" s="6"/>
      <c r="Z1220" s="6"/>
      <c r="AA1220" s="6" t="s">
        <v>766</v>
      </c>
      <c r="AB1220" s="8"/>
    </row>
    <row r="1221" spans="1:28" s="4" customFormat="1" ht="51.95" customHeight="1">
      <c r="A1221" s="5">
        <v>0</v>
      </c>
      <c r="B1221" s="6" t="s">
        <v>7832</v>
      </c>
      <c r="C1221" s="13">
        <v>740</v>
      </c>
      <c r="D1221" s="8" t="s">
        <v>7833</v>
      </c>
      <c r="E1221" s="8" t="s">
        <v>7834</v>
      </c>
      <c r="F1221" s="8" t="s">
        <v>7835</v>
      </c>
      <c r="G1221" s="6" t="s">
        <v>38</v>
      </c>
      <c r="H1221" s="6" t="s">
        <v>54</v>
      </c>
      <c r="I1221" s="8" t="s">
        <v>40</v>
      </c>
      <c r="J1221" s="9">
        <v>1</v>
      </c>
      <c r="K1221" s="9">
        <v>134</v>
      </c>
      <c r="L1221" s="9">
        <v>2022</v>
      </c>
      <c r="M1221" s="8" t="s">
        <v>7836</v>
      </c>
      <c r="N1221" s="8" t="s">
        <v>535</v>
      </c>
      <c r="O1221" s="8" t="s">
        <v>856</v>
      </c>
      <c r="P1221" s="6" t="s">
        <v>44</v>
      </c>
      <c r="Q1221" s="8" t="s">
        <v>45</v>
      </c>
      <c r="R1221" s="10" t="s">
        <v>7837</v>
      </c>
      <c r="S1221" s="11" t="s">
        <v>7838</v>
      </c>
      <c r="T1221" s="6"/>
      <c r="U1221" s="24" t="str">
        <f>HYPERLINK("https://media.infra-m.ru/1853/1853326/cover/1853326.jpg", "Обложка")</f>
        <v>Обложка</v>
      </c>
      <c r="V1221" s="24" t="str">
        <f>HYPERLINK("https://znanium.ru/catalog/product/1853326", "Ознакомиться")</f>
        <v>Ознакомиться</v>
      </c>
      <c r="W1221" s="8"/>
      <c r="X1221" s="6"/>
      <c r="Y1221" s="6"/>
      <c r="Z1221" s="6" t="s">
        <v>48</v>
      </c>
      <c r="AA1221" s="6" t="s">
        <v>500</v>
      </c>
      <c r="AB1221" s="8"/>
    </row>
    <row r="1222" spans="1:28" s="4" customFormat="1" ht="51.95" customHeight="1">
      <c r="A1222" s="5">
        <v>0</v>
      </c>
      <c r="B1222" s="6" t="s">
        <v>7839</v>
      </c>
      <c r="C1222" s="7">
        <v>1324</v>
      </c>
      <c r="D1222" s="8" t="s">
        <v>7840</v>
      </c>
      <c r="E1222" s="8" t="s">
        <v>7841</v>
      </c>
      <c r="F1222" s="8" t="s">
        <v>7842</v>
      </c>
      <c r="G1222" s="6" t="s">
        <v>38</v>
      </c>
      <c r="H1222" s="6" t="s">
        <v>54</v>
      </c>
      <c r="I1222" s="8" t="s">
        <v>40</v>
      </c>
      <c r="J1222" s="9">
        <v>1</v>
      </c>
      <c r="K1222" s="9">
        <v>254</v>
      </c>
      <c r="L1222" s="9">
        <v>2026</v>
      </c>
      <c r="M1222" s="8" t="s">
        <v>7843</v>
      </c>
      <c r="N1222" s="8" t="s">
        <v>125</v>
      </c>
      <c r="O1222" s="8" t="s">
        <v>432</v>
      </c>
      <c r="P1222" s="6" t="s">
        <v>44</v>
      </c>
      <c r="Q1222" s="8" t="s">
        <v>45</v>
      </c>
      <c r="R1222" s="10" t="s">
        <v>7844</v>
      </c>
      <c r="S1222" s="11" t="s">
        <v>7845</v>
      </c>
      <c r="T1222" s="6"/>
      <c r="U1222" s="24" t="str">
        <f>HYPERLINK("https://media.infra-m.ru/2216/2216934/cover/2216934.jpg", "Обложка")</f>
        <v>Обложка</v>
      </c>
      <c r="V1222" s="24" t="str">
        <f>HYPERLINK("https://znanium.ru/catalog/product/2187081", "Ознакомиться")</f>
        <v>Ознакомиться</v>
      </c>
      <c r="W1222" s="8" t="s">
        <v>1188</v>
      </c>
      <c r="X1222" s="6"/>
      <c r="Y1222" s="6"/>
      <c r="Z1222" s="6" t="s">
        <v>48</v>
      </c>
      <c r="AA1222" s="6" t="s">
        <v>111</v>
      </c>
      <c r="AB1222" s="8"/>
    </row>
    <row r="1223" spans="1:28" s="4" customFormat="1" ht="51.95" customHeight="1">
      <c r="A1223" s="5">
        <v>0</v>
      </c>
      <c r="B1223" s="6" t="s">
        <v>7846</v>
      </c>
      <c r="C1223" s="7">
        <v>2564</v>
      </c>
      <c r="D1223" s="8" t="s">
        <v>7847</v>
      </c>
      <c r="E1223" s="8" t="s">
        <v>7848</v>
      </c>
      <c r="F1223" s="8" t="s">
        <v>7849</v>
      </c>
      <c r="G1223" s="6" t="s">
        <v>38</v>
      </c>
      <c r="H1223" s="6" t="s">
        <v>39</v>
      </c>
      <c r="I1223" s="8" t="s">
        <v>69</v>
      </c>
      <c r="J1223" s="9">
        <v>1</v>
      </c>
      <c r="K1223" s="9">
        <v>512</v>
      </c>
      <c r="L1223" s="9">
        <v>2025</v>
      </c>
      <c r="M1223" s="8" t="s">
        <v>7850</v>
      </c>
      <c r="N1223" s="8" t="s">
        <v>535</v>
      </c>
      <c r="O1223" s="8" t="s">
        <v>856</v>
      </c>
      <c r="P1223" s="6" t="s">
        <v>44</v>
      </c>
      <c r="Q1223" s="8" t="s">
        <v>45</v>
      </c>
      <c r="R1223" s="10" t="s">
        <v>1487</v>
      </c>
      <c r="S1223" s="11" t="s">
        <v>1100</v>
      </c>
      <c r="T1223" s="6"/>
      <c r="U1223" s="24" t="str">
        <f>HYPERLINK("https://media.infra-m.ru/2178/2178829/cover/2178829.jpg", "Обложка")</f>
        <v>Обложка</v>
      </c>
      <c r="V1223" s="24" t="str">
        <f>HYPERLINK("https://znanium.ru/catalog/product/1138798", "Ознакомиться")</f>
        <v>Ознакомиться</v>
      </c>
      <c r="W1223" s="8" t="s">
        <v>1067</v>
      </c>
      <c r="X1223" s="6"/>
      <c r="Y1223" s="6"/>
      <c r="Z1223" s="6"/>
      <c r="AA1223" s="6" t="s">
        <v>253</v>
      </c>
      <c r="AB1223" s="8"/>
    </row>
    <row r="1224" spans="1:28" s="4" customFormat="1" ht="51.95" customHeight="1">
      <c r="A1224" s="5">
        <v>0</v>
      </c>
      <c r="B1224" s="6" t="s">
        <v>7851</v>
      </c>
      <c r="C1224" s="13">
        <v>697</v>
      </c>
      <c r="D1224" s="8" t="s">
        <v>7852</v>
      </c>
      <c r="E1224" s="8" t="s">
        <v>7853</v>
      </c>
      <c r="F1224" s="8" t="s">
        <v>7854</v>
      </c>
      <c r="G1224" s="6" t="s">
        <v>67</v>
      </c>
      <c r="H1224" s="6" t="s">
        <v>39</v>
      </c>
      <c r="I1224" s="8" t="s">
        <v>40</v>
      </c>
      <c r="J1224" s="9">
        <v>1</v>
      </c>
      <c r="K1224" s="9">
        <v>97</v>
      </c>
      <c r="L1224" s="9">
        <v>2026</v>
      </c>
      <c r="M1224" s="8" t="s">
        <v>7855</v>
      </c>
      <c r="N1224" s="8" t="s">
        <v>535</v>
      </c>
      <c r="O1224" s="8" t="s">
        <v>856</v>
      </c>
      <c r="P1224" s="6" t="s">
        <v>44</v>
      </c>
      <c r="Q1224" s="8" t="s">
        <v>45</v>
      </c>
      <c r="R1224" s="10" t="s">
        <v>7856</v>
      </c>
      <c r="S1224" s="11" t="s">
        <v>1106</v>
      </c>
      <c r="T1224" s="6"/>
      <c r="U1224" s="24" t="str">
        <f>HYPERLINK("https://media.infra-m.ru/2224/2224113/cover/2224113.jpg", "Обложка")</f>
        <v>Обложка</v>
      </c>
      <c r="V1224" s="24" t="str">
        <f>HYPERLINK("https://znanium.ru/catalog/product/2192597", "Ознакомиться")</f>
        <v>Ознакомиться</v>
      </c>
      <c r="W1224" s="8" t="s">
        <v>2007</v>
      </c>
      <c r="X1224" s="6"/>
      <c r="Y1224" s="6"/>
      <c r="Z1224" s="6"/>
      <c r="AA1224" s="6" t="s">
        <v>5050</v>
      </c>
      <c r="AB1224" s="8"/>
    </row>
    <row r="1225" spans="1:28" s="4" customFormat="1" ht="51.95" customHeight="1">
      <c r="A1225" s="5">
        <v>0</v>
      </c>
      <c r="B1225" s="6" t="s">
        <v>7857</v>
      </c>
      <c r="C1225" s="7">
        <v>1300</v>
      </c>
      <c r="D1225" s="8" t="s">
        <v>7858</v>
      </c>
      <c r="E1225" s="8" t="s">
        <v>7859</v>
      </c>
      <c r="F1225" s="8" t="s">
        <v>7860</v>
      </c>
      <c r="G1225" s="6" t="s">
        <v>90</v>
      </c>
      <c r="H1225" s="6" t="s">
        <v>54</v>
      </c>
      <c r="I1225" s="8" t="s">
        <v>40</v>
      </c>
      <c r="J1225" s="9">
        <v>1</v>
      </c>
      <c r="K1225" s="9">
        <v>274</v>
      </c>
      <c r="L1225" s="9">
        <v>2024</v>
      </c>
      <c r="M1225" s="8" t="s">
        <v>7861</v>
      </c>
      <c r="N1225" s="8" t="s">
        <v>535</v>
      </c>
      <c r="O1225" s="8" t="s">
        <v>856</v>
      </c>
      <c r="P1225" s="6" t="s">
        <v>44</v>
      </c>
      <c r="Q1225" s="8" t="s">
        <v>45</v>
      </c>
      <c r="R1225" s="10" t="s">
        <v>1487</v>
      </c>
      <c r="S1225" s="11" t="s">
        <v>7862</v>
      </c>
      <c r="T1225" s="6"/>
      <c r="U1225" s="24" t="str">
        <f>HYPERLINK("https://media.infra-m.ru/2048/2048137/cover/2048137.jpg", "Обложка")</f>
        <v>Обложка</v>
      </c>
      <c r="V1225" s="24" t="str">
        <f>HYPERLINK("https://znanium.ru/catalog/product/2048137", "Ознакомиться")</f>
        <v>Ознакомиться</v>
      </c>
      <c r="W1225" s="8" t="s">
        <v>850</v>
      </c>
      <c r="X1225" s="6"/>
      <c r="Y1225" s="6"/>
      <c r="Z1225" s="6"/>
      <c r="AA1225" s="6" t="s">
        <v>223</v>
      </c>
      <c r="AB1225" s="8"/>
    </row>
    <row r="1226" spans="1:28" s="4" customFormat="1" ht="51.95" customHeight="1">
      <c r="A1226" s="5">
        <v>0</v>
      </c>
      <c r="B1226" s="6" t="s">
        <v>7863</v>
      </c>
      <c r="C1226" s="7">
        <v>2914</v>
      </c>
      <c r="D1226" s="8" t="s">
        <v>7864</v>
      </c>
      <c r="E1226" s="8" t="s">
        <v>7865</v>
      </c>
      <c r="F1226" s="8" t="s">
        <v>7866</v>
      </c>
      <c r="G1226" s="6" t="s">
        <v>90</v>
      </c>
      <c r="H1226" s="6" t="s">
        <v>39</v>
      </c>
      <c r="I1226" s="8" t="s">
        <v>40</v>
      </c>
      <c r="J1226" s="9">
        <v>1</v>
      </c>
      <c r="K1226" s="9">
        <v>560</v>
      </c>
      <c r="L1226" s="9">
        <v>2026</v>
      </c>
      <c r="M1226" s="8" t="s">
        <v>7867</v>
      </c>
      <c r="N1226" s="8" t="s">
        <v>535</v>
      </c>
      <c r="O1226" s="8" t="s">
        <v>856</v>
      </c>
      <c r="P1226" s="6" t="s">
        <v>58</v>
      </c>
      <c r="Q1226" s="8" t="s">
        <v>45</v>
      </c>
      <c r="R1226" s="10" t="s">
        <v>7856</v>
      </c>
      <c r="S1226" s="11" t="s">
        <v>7868</v>
      </c>
      <c r="T1226" s="6"/>
      <c r="U1226" s="24" t="str">
        <f>HYPERLINK("https://media.infra-m.ru/2143/2143938/cover/2143938.jpg", "Обложка")</f>
        <v>Обложка</v>
      </c>
      <c r="V1226" s="24" t="str">
        <f>HYPERLINK("https://znanium.ru/catalog/product/1968777", "Ознакомиться")</f>
        <v>Ознакомиться</v>
      </c>
      <c r="W1226" s="8" t="s">
        <v>7869</v>
      </c>
      <c r="X1226" s="6"/>
      <c r="Y1226" s="6"/>
      <c r="Z1226" s="6"/>
      <c r="AA1226" s="6" t="s">
        <v>1798</v>
      </c>
      <c r="AB1226" s="8"/>
    </row>
    <row r="1227" spans="1:28" s="4" customFormat="1" ht="51.95" customHeight="1">
      <c r="A1227" s="5">
        <v>0</v>
      </c>
      <c r="B1227" s="6" t="s">
        <v>7870</v>
      </c>
      <c r="C1227" s="7">
        <v>2034</v>
      </c>
      <c r="D1227" s="8" t="s">
        <v>7871</v>
      </c>
      <c r="E1227" s="8" t="s">
        <v>7872</v>
      </c>
      <c r="F1227" s="8" t="s">
        <v>7873</v>
      </c>
      <c r="G1227" s="6" t="s">
        <v>38</v>
      </c>
      <c r="H1227" s="6" t="s">
        <v>39</v>
      </c>
      <c r="I1227" s="8" t="s">
        <v>69</v>
      </c>
      <c r="J1227" s="9">
        <v>1</v>
      </c>
      <c r="K1227" s="9">
        <v>432</v>
      </c>
      <c r="L1227" s="9">
        <v>2024</v>
      </c>
      <c r="M1227" s="8" t="s">
        <v>7874</v>
      </c>
      <c r="N1227" s="8" t="s">
        <v>535</v>
      </c>
      <c r="O1227" s="8" t="s">
        <v>856</v>
      </c>
      <c r="P1227" s="6" t="s">
        <v>44</v>
      </c>
      <c r="Q1227" s="8" t="s">
        <v>45</v>
      </c>
      <c r="R1227" s="10" t="s">
        <v>1487</v>
      </c>
      <c r="S1227" s="11" t="s">
        <v>7875</v>
      </c>
      <c r="T1227" s="6"/>
      <c r="U1227" s="24" t="str">
        <f>HYPERLINK("https://media.infra-m.ru/2083/2083157/cover/2083157.jpg", "Обложка")</f>
        <v>Обложка</v>
      </c>
      <c r="V1227" s="24" t="str">
        <f>HYPERLINK("https://znanium.ru/catalog/product/1012153", "Ознакомиться")</f>
        <v>Ознакомиться</v>
      </c>
      <c r="W1227" s="8" t="s">
        <v>2007</v>
      </c>
      <c r="X1227" s="6"/>
      <c r="Y1227" s="6"/>
      <c r="Z1227" s="6"/>
      <c r="AA1227" s="6" t="s">
        <v>1644</v>
      </c>
      <c r="AB1227" s="8"/>
    </row>
    <row r="1228" spans="1:28" s="4" customFormat="1" ht="51.95" customHeight="1">
      <c r="A1228" s="5">
        <v>0</v>
      </c>
      <c r="B1228" s="6" t="s">
        <v>7876</v>
      </c>
      <c r="C1228" s="7">
        <v>1860</v>
      </c>
      <c r="D1228" s="8" t="s">
        <v>7877</v>
      </c>
      <c r="E1228" s="8" t="s">
        <v>7878</v>
      </c>
      <c r="F1228" s="8" t="s">
        <v>7879</v>
      </c>
      <c r="G1228" s="6" t="s">
        <v>90</v>
      </c>
      <c r="H1228" s="6" t="s">
        <v>54</v>
      </c>
      <c r="I1228" s="8" t="s">
        <v>40</v>
      </c>
      <c r="J1228" s="9">
        <v>1</v>
      </c>
      <c r="K1228" s="9">
        <v>351</v>
      </c>
      <c r="L1228" s="9">
        <v>2026</v>
      </c>
      <c r="M1228" s="8" t="s">
        <v>7880</v>
      </c>
      <c r="N1228" s="8" t="s">
        <v>42</v>
      </c>
      <c r="O1228" s="8" t="s">
        <v>553</v>
      </c>
      <c r="P1228" s="6" t="s">
        <v>44</v>
      </c>
      <c r="Q1228" s="8" t="s">
        <v>45</v>
      </c>
      <c r="R1228" s="10" t="s">
        <v>7881</v>
      </c>
      <c r="S1228" s="11" t="s">
        <v>4967</v>
      </c>
      <c r="T1228" s="6" t="s">
        <v>118</v>
      </c>
      <c r="U1228" s="24" t="str">
        <f>HYPERLINK("https://media.infra-m.ru/2210/2210350/cover/2210350.jpg", "Обложка")</f>
        <v>Обложка</v>
      </c>
      <c r="V1228" s="24" t="str">
        <f>HYPERLINK("https://znanium.ru/catalog/product/2210350", "Ознакомиться")</f>
        <v>Ознакомиться</v>
      </c>
      <c r="W1228" s="8" t="s">
        <v>1437</v>
      </c>
      <c r="X1228" s="6"/>
      <c r="Y1228" s="6"/>
      <c r="Z1228" s="6" t="s">
        <v>48</v>
      </c>
      <c r="AA1228" s="6" t="s">
        <v>443</v>
      </c>
      <c r="AB1228" s="8"/>
    </row>
    <row r="1229" spans="1:28" s="4" customFormat="1" ht="51.95" customHeight="1">
      <c r="A1229" s="5">
        <v>0</v>
      </c>
      <c r="B1229" s="6" t="s">
        <v>7882</v>
      </c>
      <c r="C1229" s="7">
        <v>1690</v>
      </c>
      <c r="D1229" s="8" t="s">
        <v>7883</v>
      </c>
      <c r="E1229" s="8" t="s">
        <v>7884</v>
      </c>
      <c r="F1229" s="8" t="s">
        <v>7885</v>
      </c>
      <c r="G1229" s="6" t="s">
        <v>38</v>
      </c>
      <c r="H1229" s="6" t="s">
        <v>54</v>
      </c>
      <c r="I1229" s="8" t="s">
        <v>40</v>
      </c>
      <c r="J1229" s="9">
        <v>1</v>
      </c>
      <c r="K1229" s="9">
        <v>336</v>
      </c>
      <c r="L1229" s="9">
        <v>2025</v>
      </c>
      <c r="M1229" s="8" t="s">
        <v>7886</v>
      </c>
      <c r="N1229" s="8" t="s">
        <v>42</v>
      </c>
      <c r="O1229" s="8" t="s">
        <v>553</v>
      </c>
      <c r="P1229" s="6" t="s">
        <v>58</v>
      </c>
      <c r="Q1229" s="8" t="s">
        <v>45</v>
      </c>
      <c r="R1229" s="10" t="s">
        <v>7887</v>
      </c>
      <c r="S1229" s="11"/>
      <c r="T1229" s="6"/>
      <c r="U1229" s="24" t="str">
        <f>HYPERLINK("https://media.infra-m.ru/2169/2169778/cover/2169778.jpg", "Обложка")</f>
        <v>Обложка</v>
      </c>
      <c r="V1229" s="24" t="str">
        <f>HYPERLINK("https://znanium.ru/catalog/product/2169778", "Ознакомиться")</f>
        <v>Ознакомиться</v>
      </c>
      <c r="W1229" s="8" t="s">
        <v>1560</v>
      </c>
      <c r="X1229" s="6" t="s">
        <v>367</v>
      </c>
      <c r="Y1229" s="6"/>
      <c r="Z1229" s="6" t="s">
        <v>48</v>
      </c>
      <c r="AA1229" s="6" t="s">
        <v>84</v>
      </c>
      <c r="AB1229" s="8"/>
    </row>
    <row r="1230" spans="1:28" s="4" customFormat="1" ht="51.95" customHeight="1">
      <c r="A1230" s="5">
        <v>0</v>
      </c>
      <c r="B1230" s="6" t="s">
        <v>7888</v>
      </c>
      <c r="C1230" s="7">
        <v>1084</v>
      </c>
      <c r="D1230" s="8" t="s">
        <v>7889</v>
      </c>
      <c r="E1230" s="8" t="s">
        <v>7890</v>
      </c>
      <c r="F1230" s="8" t="s">
        <v>7891</v>
      </c>
      <c r="G1230" s="6" t="s">
        <v>90</v>
      </c>
      <c r="H1230" s="6" t="s">
        <v>54</v>
      </c>
      <c r="I1230" s="8" t="s">
        <v>40</v>
      </c>
      <c r="J1230" s="9">
        <v>1</v>
      </c>
      <c r="K1230" s="9">
        <v>197</v>
      </c>
      <c r="L1230" s="9">
        <v>2026</v>
      </c>
      <c r="M1230" s="8" t="s">
        <v>7892</v>
      </c>
      <c r="N1230" s="8" t="s">
        <v>1456</v>
      </c>
      <c r="O1230" s="8" t="s">
        <v>1457</v>
      </c>
      <c r="P1230" s="6" t="s">
        <v>1285</v>
      </c>
      <c r="Q1230" s="8" t="s">
        <v>45</v>
      </c>
      <c r="R1230" s="10" t="s">
        <v>7893</v>
      </c>
      <c r="S1230" s="11" t="s">
        <v>1983</v>
      </c>
      <c r="T1230" s="6"/>
      <c r="U1230" s="24" t="str">
        <f>HYPERLINK("https://media.infra-m.ru/2226/2226640/cover/2226640.jpg", "Обложка")</f>
        <v>Обложка</v>
      </c>
      <c r="V1230" s="24" t="str">
        <f>HYPERLINK("https://znanium.ru/catalog/product/2156464", "Ознакомиться")</f>
        <v>Ознакомиться</v>
      </c>
      <c r="W1230" s="8" t="s">
        <v>1437</v>
      </c>
      <c r="X1230" s="6"/>
      <c r="Y1230" s="6" t="s">
        <v>30</v>
      </c>
      <c r="Z1230" s="6" t="s">
        <v>48</v>
      </c>
      <c r="AA1230" s="6" t="s">
        <v>740</v>
      </c>
      <c r="AB1230" s="8"/>
    </row>
    <row r="1231" spans="1:28" s="4" customFormat="1" ht="51.95" customHeight="1">
      <c r="A1231" s="5">
        <v>0</v>
      </c>
      <c r="B1231" s="6" t="s">
        <v>7894</v>
      </c>
      <c r="C1231" s="7">
        <v>1100</v>
      </c>
      <c r="D1231" s="8" t="s">
        <v>7895</v>
      </c>
      <c r="E1231" s="8" t="s">
        <v>7896</v>
      </c>
      <c r="F1231" s="8" t="s">
        <v>1368</v>
      </c>
      <c r="G1231" s="6" t="s">
        <v>90</v>
      </c>
      <c r="H1231" s="6" t="s">
        <v>54</v>
      </c>
      <c r="I1231" s="8" t="s">
        <v>40</v>
      </c>
      <c r="J1231" s="9">
        <v>1</v>
      </c>
      <c r="K1231" s="9">
        <v>246</v>
      </c>
      <c r="L1231" s="9">
        <v>2023</v>
      </c>
      <c r="M1231" s="8" t="s">
        <v>7897</v>
      </c>
      <c r="N1231" s="8" t="s">
        <v>42</v>
      </c>
      <c r="O1231" s="8" t="s">
        <v>1370</v>
      </c>
      <c r="P1231" s="6" t="s">
        <v>44</v>
      </c>
      <c r="Q1231" s="8" t="s">
        <v>45</v>
      </c>
      <c r="R1231" s="10" t="s">
        <v>7898</v>
      </c>
      <c r="S1231" s="11" t="s">
        <v>7899</v>
      </c>
      <c r="T1231" s="6"/>
      <c r="U1231" s="24" t="str">
        <f>HYPERLINK("https://media.infra-m.ru/1926/1926399/cover/1926399.jpg", "Обложка")</f>
        <v>Обложка</v>
      </c>
      <c r="V1231" s="24" t="str">
        <f>HYPERLINK("https://znanium.ru/catalog/product/1926399", "Ознакомиться")</f>
        <v>Ознакомиться</v>
      </c>
      <c r="W1231" s="8" t="s">
        <v>1373</v>
      </c>
      <c r="X1231" s="6"/>
      <c r="Y1231" s="6"/>
      <c r="Z1231" s="6" t="s">
        <v>48</v>
      </c>
      <c r="AA1231" s="6" t="s">
        <v>223</v>
      </c>
      <c r="AB1231" s="8"/>
    </row>
    <row r="1232" spans="1:28" s="4" customFormat="1" ht="51.95" customHeight="1">
      <c r="A1232" s="5">
        <v>0</v>
      </c>
      <c r="B1232" s="6" t="s">
        <v>7900</v>
      </c>
      <c r="C1232" s="7">
        <v>1170</v>
      </c>
      <c r="D1232" s="8" t="s">
        <v>7901</v>
      </c>
      <c r="E1232" s="8" t="s">
        <v>7902</v>
      </c>
      <c r="F1232" s="8" t="s">
        <v>7903</v>
      </c>
      <c r="G1232" s="6" t="s">
        <v>90</v>
      </c>
      <c r="H1232" s="6" t="s">
        <v>54</v>
      </c>
      <c r="I1232" s="8" t="s">
        <v>40</v>
      </c>
      <c r="J1232" s="9">
        <v>1</v>
      </c>
      <c r="K1232" s="9">
        <v>218</v>
      </c>
      <c r="L1232" s="9">
        <v>2026</v>
      </c>
      <c r="M1232" s="8" t="s">
        <v>7904</v>
      </c>
      <c r="N1232" s="8" t="s">
        <v>1306</v>
      </c>
      <c r="O1232" s="8" t="s">
        <v>1307</v>
      </c>
      <c r="P1232" s="6" t="s">
        <v>1285</v>
      </c>
      <c r="Q1232" s="8" t="s">
        <v>45</v>
      </c>
      <c r="R1232" s="10" t="s">
        <v>7905</v>
      </c>
      <c r="S1232" s="11" t="s">
        <v>7906</v>
      </c>
      <c r="T1232" s="6"/>
      <c r="U1232" s="24" t="str">
        <f>HYPERLINK("https://media.infra-m.ru/2215/2215357/cover/2215357.jpg", "Обложка")</f>
        <v>Обложка</v>
      </c>
      <c r="V1232" s="24" t="str">
        <f>HYPERLINK("https://znanium.ru/catalog/product/2215357", "Ознакомиться")</f>
        <v>Ознакомиться</v>
      </c>
      <c r="W1232" s="8" t="s">
        <v>7907</v>
      </c>
      <c r="X1232" s="6"/>
      <c r="Y1232" s="6"/>
      <c r="Z1232" s="6"/>
      <c r="AA1232" s="6" t="s">
        <v>740</v>
      </c>
      <c r="AB1232" s="8"/>
    </row>
    <row r="1233" spans="1:28" s="4" customFormat="1" ht="42" customHeight="1">
      <c r="A1233" s="5">
        <v>0</v>
      </c>
      <c r="B1233" s="6" t="s">
        <v>7908</v>
      </c>
      <c r="C1233" s="7">
        <v>1914</v>
      </c>
      <c r="D1233" s="8" t="s">
        <v>7909</v>
      </c>
      <c r="E1233" s="8" t="s">
        <v>7910</v>
      </c>
      <c r="F1233" s="8" t="s">
        <v>7911</v>
      </c>
      <c r="G1233" s="6" t="s">
        <v>90</v>
      </c>
      <c r="H1233" s="6" t="s">
        <v>359</v>
      </c>
      <c r="I1233" s="8" t="s">
        <v>40</v>
      </c>
      <c r="J1233" s="9">
        <v>1</v>
      </c>
      <c r="K1233" s="9">
        <v>368</v>
      </c>
      <c r="L1233" s="9">
        <v>2026</v>
      </c>
      <c r="M1233" s="8" t="s">
        <v>7912</v>
      </c>
      <c r="N1233" s="8" t="s">
        <v>56</v>
      </c>
      <c r="O1233" s="8" t="s">
        <v>3101</v>
      </c>
      <c r="P1233" s="6" t="s">
        <v>58</v>
      </c>
      <c r="Q1233" s="8" t="s">
        <v>45</v>
      </c>
      <c r="R1233" s="10" t="s">
        <v>108</v>
      </c>
      <c r="S1233" s="11"/>
      <c r="T1233" s="6"/>
      <c r="U1233" s="24" t="str">
        <f>HYPERLINK("https://media.infra-m.ru/2212/2212148/cover/2212148.jpg", "Обложка")</f>
        <v>Обложка</v>
      </c>
      <c r="V1233" s="12"/>
      <c r="W1233" s="8" t="s">
        <v>361</v>
      </c>
      <c r="X1233" s="6"/>
      <c r="Y1233" s="6"/>
      <c r="Z1233" s="6"/>
      <c r="AA1233" s="6" t="s">
        <v>84</v>
      </c>
      <c r="AB1233" s="8"/>
    </row>
    <row r="1234" spans="1:28" s="4" customFormat="1" ht="51.95" customHeight="1">
      <c r="A1234" s="5">
        <v>0</v>
      </c>
      <c r="B1234" s="6" t="s">
        <v>7913</v>
      </c>
      <c r="C1234" s="13">
        <v>530</v>
      </c>
      <c r="D1234" s="8" t="s">
        <v>7914</v>
      </c>
      <c r="E1234" s="8" t="s">
        <v>7915</v>
      </c>
      <c r="F1234" s="8" t="s">
        <v>7916</v>
      </c>
      <c r="G1234" s="6" t="s">
        <v>67</v>
      </c>
      <c r="H1234" s="6" t="s">
        <v>54</v>
      </c>
      <c r="I1234" s="8" t="s">
        <v>40</v>
      </c>
      <c r="J1234" s="9">
        <v>1</v>
      </c>
      <c r="K1234" s="9">
        <v>112</v>
      </c>
      <c r="L1234" s="9">
        <v>2023</v>
      </c>
      <c r="M1234" s="8" t="s">
        <v>7917</v>
      </c>
      <c r="N1234" s="8" t="s">
        <v>125</v>
      </c>
      <c r="O1234" s="8" t="s">
        <v>432</v>
      </c>
      <c r="P1234" s="6" t="s">
        <v>44</v>
      </c>
      <c r="Q1234" s="8" t="s">
        <v>45</v>
      </c>
      <c r="R1234" s="10" t="s">
        <v>464</v>
      </c>
      <c r="S1234" s="11" t="s">
        <v>3903</v>
      </c>
      <c r="T1234" s="6"/>
      <c r="U1234" s="24" t="str">
        <f>HYPERLINK("https://media.infra-m.ru/1998/1998740/cover/1998740.jpg", "Обложка")</f>
        <v>Обложка</v>
      </c>
      <c r="V1234" s="24" t="str">
        <f>HYPERLINK("https://znanium.ru/catalog/product/2198080", "Ознакомиться")</f>
        <v>Ознакомиться</v>
      </c>
      <c r="W1234" s="8" t="s">
        <v>94</v>
      </c>
      <c r="X1234" s="6"/>
      <c r="Y1234" s="6"/>
      <c r="Z1234" s="6" t="s">
        <v>48</v>
      </c>
      <c r="AA1234" s="6" t="s">
        <v>443</v>
      </c>
      <c r="AB1234" s="8"/>
    </row>
    <row r="1235" spans="1:28" s="4" customFormat="1" ht="51.95" customHeight="1">
      <c r="A1235" s="5">
        <v>0</v>
      </c>
      <c r="B1235" s="6" t="s">
        <v>7918</v>
      </c>
      <c r="C1235" s="13">
        <v>660</v>
      </c>
      <c r="D1235" s="8" t="s">
        <v>7919</v>
      </c>
      <c r="E1235" s="8" t="s">
        <v>7920</v>
      </c>
      <c r="F1235" s="8" t="s">
        <v>7916</v>
      </c>
      <c r="G1235" s="6" t="s">
        <v>67</v>
      </c>
      <c r="H1235" s="6" t="s">
        <v>54</v>
      </c>
      <c r="I1235" s="8" t="s">
        <v>79</v>
      </c>
      <c r="J1235" s="9">
        <v>1</v>
      </c>
      <c r="K1235" s="9">
        <v>121</v>
      </c>
      <c r="L1235" s="9">
        <v>2025</v>
      </c>
      <c r="M1235" s="8" t="s">
        <v>7921</v>
      </c>
      <c r="N1235" s="8" t="s">
        <v>125</v>
      </c>
      <c r="O1235" s="8" t="s">
        <v>432</v>
      </c>
      <c r="P1235" s="6" t="s">
        <v>44</v>
      </c>
      <c r="Q1235" s="8" t="s">
        <v>45</v>
      </c>
      <c r="R1235" s="10" t="s">
        <v>464</v>
      </c>
      <c r="S1235" s="11" t="s">
        <v>3903</v>
      </c>
      <c r="T1235" s="6"/>
      <c r="U1235" s="24" t="str">
        <f>HYPERLINK("https://media.infra-m.ru/2198/2198080/cover/2198080.jpg", "Обложка")</f>
        <v>Обложка</v>
      </c>
      <c r="V1235" s="24" t="str">
        <f>HYPERLINK("https://znanium.ru/catalog/product/2198080", "Ознакомиться")</f>
        <v>Ознакомиться</v>
      </c>
      <c r="W1235" s="8" t="s">
        <v>94</v>
      </c>
      <c r="X1235" s="6" t="s">
        <v>727</v>
      </c>
      <c r="Y1235" s="6"/>
      <c r="Z1235" s="6" t="s">
        <v>48</v>
      </c>
      <c r="AA1235" s="6" t="s">
        <v>368</v>
      </c>
      <c r="AB1235" s="8"/>
    </row>
    <row r="1236" spans="1:28" s="4" customFormat="1" ht="42" customHeight="1">
      <c r="A1236" s="5">
        <v>0</v>
      </c>
      <c r="B1236" s="6" t="s">
        <v>7922</v>
      </c>
      <c r="C1236" s="7">
        <v>1224.9000000000001</v>
      </c>
      <c r="D1236" s="8" t="s">
        <v>7923</v>
      </c>
      <c r="E1236" s="8" t="s">
        <v>7924</v>
      </c>
      <c r="F1236" s="8" t="s">
        <v>7925</v>
      </c>
      <c r="G1236" s="6" t="s">
        <v>90</v>
      </c>
      <c r="H1236" s="6" t="s">
        <v>359</v>
      </c>
      <c r="I1236" s="8" t="s">
        <v>1686</v>
      </c>
      <c r="J1236" s="9">
        <v>1</v>
      </c>
      <c r="K1236" s="9">
        <v>272</v>
      </c>
      <c r="L1236" s="9">
        <v>2023</v>
      </c>
      <c r="M1236" s="8" t="s">
        <v>7926</v>
      </c>
      <c r="N1236" s="8" t="s">
        <v>125</v>
      </c>
      <c r="O1236" s="8" t="s">
        <v>352</v>
      </c>
      <c r="P1236" s="6" t="s">
        <v>58</v>
      </c>
      <c r="Q1236" s="8" t="s">
        <v>45</v>
      </c>
      <c r="R1236" s="10" t="s">
        <v>108</v>
      </c>
      <c r="S1236" s="11"/>
      <c r="T1236" s="6"/>
      <c r="U1236" s="24" t="str">
        <f>HYPERLINK("https://media.infra-m.ru/1893/1893953/cover/1893953.jpg", "Обложка")</f>
        <v>Обложка</v>
      </c>
      <c r="V1236" s="24" t="str">
        <f>HYPERLINK("https://znanium.ru/catalog/product/2066409", "Ознакомиться")</f>
        <v>Ознакомиться</v>
      </c>
      <c r="W1236" s="8" t="s">
        <v>361</v>
      </c>
      <c r="X1236" s="6"/>
      <c r="Y1236" s="6"/>
      <c r="Z1236" s="6"/>
      <c r="AA1236" s="6" t="s">
        <v>2486</v>
      </c>
      <c r="AB1236" s="8"/>
    </row>
    <row r="1237" spans="1:28" s="4" customFormat="1" ht="42" customHeight="1">
      <c r="A1237" s="5">
        <v>0</v>
      </c>
      <c r="B1237" s="6" t="s">
        <v>7927</v>
      </c>
      <c r="C1237" s="7">
        <v>1334</v>
      </c>
      <c r="D1237" s="8" t="s">
        <v>7928</v>
      </c>
      <c r="E1237" s="8" t="s">
        <v>7929</v>
      </c>
      <c r="F1237" s="8" t="s">
        <v>7925</v>
      </c>
      <c r="G1237" s="6" t="s">
        <v>90</v>
      </c>
      <c r="H1237" s="6" t="s">
        <v>359</v>
      </c>
      <c r="I1237" s="8" t="s">
        <v>1686</v>
      </c>
      <c r="J1237" s="9">
        <v>1</v>
      </c>
      <c r="K1237" s="9">
        <v>256</v>
      </c>
      <c r="L1237" s="9">
        <v>2026</v>
      </c>
      <c r="M1237" s="8" t="s">
        <v>7930</v>
      </c>
      <c r="N1237" s="8" t="s">
        <v>125</v>
      </c>
      <c r="O1237" s="8" t="s">
        <v>352</v>
      </c>
      <c r="P1237" s="6" t="s">
        <v>58</v>
      </c>
      <c r="Q1237" s="8" t="s">
        <v>45</v>
      </c>
      <c r="R1237" s="10" t="s">
        <v>108</v>
      </c>
      <c r="S1237" s="11"/>
      <c r="T1237" s="6"/>
      <c r="U1237" s="24" t="str">
        <f>HYPERLINK("https://media.infra-m.ru/2205/2205631/cover/2205631.jpg", "Обложка")</f>
        <v>Обложка</v>
      </c>
      <c r="V1237" s="24" t="str">
        <f>HYPERLINK("https://znanium.ru/catalog/product/2066409", "Ознакомиться")</f>
        <v>Ознакомиться</v>
      </c>
      <c r="W1237" s="8" t="s">
        <v>361</v>
      </c>
      <c r="X1237" s="6"/>
      <c r="Y1237" s="6"/>
      <c r="Z1237" s="6"/>
      <c r="AA1237" s="6" t="s">
        <v>7931</v>
      </c>
      <c r="AB1237" s="8"/>
    </row>
    <row r="1238" spans="1:28" s="4" customFormat="1" ht="51.95" customHeight="1">
      <c r="A1238" s="5">
        <v>0</v>
      </c>
      <c r="B1238" s="6" t="s">
        <v>7932</v>
      </c>
      <c r="C1238" s="13">
        <v>974.9</v>
      </c>
      <c r="D1238" s="8" t="s">
        <v>7933</v>
      </c>
      <c r="E1238" s="8" t="s">
        <v>7934</v>
      </c>
      <c r="F1238" s="8" t="s">
        <v>7935</v>
      </c>
      <c r="G1238" s="6" t="s">
        <v>38</v>
      </c>
      <c r="H1238" s="6" t="s">
        <v>299</v>
      </c>
      <c r="I1238" s="8" t="s">
        <v>69</v>
      </c>
      <c r="J1238" s="9">
        <v>1</v>
      </c>
      <c r="K1238" s="9">
        <v>288</v>
      </c>
      <c r="L1238" s="9">
        <v>2020</v>
      </c>
      <c r="M1238" s="8" t="s">
        <v>7936</v>
      </c>
      <c r="N1238" s="8" t="s">
        <v>125</v>
      </c>
      <c r="O1238" s="8" t="s">
        <v>352</v>
      </c>
      <c r="P1238" s="6" t="s">
        <v>44</v>
      </c>
      <c r="Q1238" s="8" t="s">
        <v>45</v>
      </c>
      <c r="R1238" s="10" t="s">
        <v>7937</v>
      </c>
      <c r="S1238" s="11" t="s">
        <v>7938</v>
      </c>
      <c r="T1238" s="6"/>
      <c r="U1238" s="24" t="str">
        <f>HYPERLINK("https://media.infra-m.ru/1052/1052235/cover/1052235.jpg", "Обложка")</f>
        <v>Обложка</v>
      </c>
      <c r="V1238" s="24" t="str">
        <f>HYPERLINK("https://znanium.ru/catalog/product/1052235", "Ознакомиться")</f>
        <v>Ознакомиться</v>
      </c>
      <c r="W1238" s="8" t="s">
        <v>466</v>
      </c>
      <c r="X1238" s="6"/>
      <c r="Y1238" s="6"/>
      <c r="Z1238" s="6"/>
      <c r="AA1238" s="6" t="s">
        <v>95</v>
      </c>
      <c r="AB1238" s="8"/>
    </row>
    <row r="1239" spans="1:28" s="4" customFormat="1" ht="44.1" customHeight="1">
      <c r="A1239" s="5">
        <v>0</v>
      </c>
      <c r="B1239" s="6" t="s">
        <v>7939</v>
      </c>
      <c r="C1239" s="7">
        <v>2380</v>
      </c>
      <c r="D1239" s="8" t="s">
        <v>7940</v>
      </c>
      <c r="E1239" s="8" t="s">
        <v>7941</v>
      </c>
      <c r="F1239" s="8" t="s">
        <v>7942</v>
      </c>
      <c r="G1239" s="6" t="s">
        <v>38</v>
      </c>
      <c r="H1239" s="6" t="s">
        <v>54</v>
      </c>
      <c r="I1239" s="8" t="s">
        <v>40</v>
      </c>
      <c r="J1239" s="9">
        <v>1</v>
      </c>
      <c r="K1239" s="9">
        <v>473</v>
      </c>
      <c r="L1239" s="9">
        <v>2025</v>
      </c>
      <c r="M1239" s="8" t="s">
        <v>7943</v>
      </c>
      <c r="N1239" s="8" t="s">
        <v>125</v>
      </c>
      <c r="O1239" s="8" t="s">
        <v>432</v>
      </c>
      <c r="P1239" s="6" t="s">
        <v>44</v>
      </c>
      <c r="Q1239" s="8" t="s">
        <v>45</v>
      </c>
      <c r="R1239" s="10" t="s">
        <v>1398</v>
      </c>
      <c r="S1239" s="11"/>
      <c r="T1239" s="6" t="s">
        <v>118</v>
      </c>
      <c r="U1239" s="24" t="str">
        <f>HYPERLINK("https://media.infra-m.ru/2035/2035512/cover/2035512.jpg", "Обложка")</f>
        <v>Обложка</v>
      </c>
      <c r="V1239" s="24" t="str">
        <f>HYPERLINK("https://znanium.ru/catalog/product/2035512", "Ознакомиться")</f>
        <v>Ознакомиться</v>
      </c>
      <c r="W1239" s="8" t="s">
        <v>7944</v>
      </c>
      <c r="X1239" s="6"/>
      <c r="Y1239" s="6"/>
      <c r="Z1239" s="6"/>
      <c r="AA1239" s="6" t="s">
        <v>84</v>
      </c>
      <c r="AB1239" s="8"/>
    </row>
    <row r="1240" spans="1:28" s="4" customFormat="1" ht="51.95" customHeight="1">
      <c r="A1240" s="5">
        <v>0</v>
      </c>
      <c r="B1240" s="6" t="s">
        <v>7945</v>
      </c>
      <c r="C1240" s="13">
        <v>430</v>
      </c>
      <c r="D1240" s="8" t="s">
        <v>7946</v>
      </c>
      <c r="E1240" s="8" t="s">
        <v>7947</v>
      </c>
      <c r="F1240" s="8" t="s">
        <v>7948</v>
      </c>
      <c r="G1240" s="6" t="s">
        <v>38</v>
      </c>
      <c r="H1240" s="6" t="s">
        <v>54</v>
      </c>
      <c r="I1240" s="8" t="s">
        <v>40</v>
      </c>
      <c r="J1240" s="9">
        <v>1</v>
      </c>
      <c r="K1240" s="9">
        <v>135</v>
      </c>
      <c r="L1240" s="9">
        <v>2019</v>
      </c>
      <c r="M1240" s="8" t="s">
        <v>7949</v>
      </c>
      <c r="N1240" s="8" t="s">
        <v>125</v>
      </c>
      <c r="O1240" s="8" t="s">
        <v>432</v>
      </c>
      <c r="P1240" s="6" t="s">
        <v>44</v>
      </c>
      <c r="Q1240" s="8" t="s">
        <v>45</v>
      </c>
      <c r="R1240" s="10" t="s">
        <v>1398</v>
      </c>
      <c r="S1240" s="11" t="s">
        <v>3132</v>
      </c>
      <c r="T1240" s="6"/>
      <c r="U1240" s="24" t="str">
        <f>HYPERLINK("https://media.infra-m.ru/1029/1029651/cover/1029651.jpg", "Обложка")</f>
        <v>Обложка</v>
      </c>
      <c r="V1240" s="24" t="str">
        <f>HYPERLINK("https://znanium.ru/catalog/product/1029651", "Ознакомиться")</f>
        <v>Ознакомиться</v>
      </c>
      <c r="W1240" s="8" t="s">
        <v>1042</v>
      </c>
      <c r="X1240" s="6"/>
      <c r="Y1240" s="6"/>
      <c r="Z1240" s="6" t="s">
        <v>48</v>
      </c>
      <c r="AA1240" s="6" t="s">
        <v>111</v>
      </c>
      <c r="AB1240" s="8"/>
    </row>
    <row r="1241" spans="1:28" s="4" customFormat="1" ht="51.95" customHeight="1">
      <c r="A1241" s="5">
        <v>0</v>
      </c>
      <c r="B1241" s="6" t="s">
        <v>7950</v>
      </c>
      <c r="C1241" s="7">
        <v>1940</v>
      </c>
      <c r="D1241" s="8" t="s">
        <v>7951</v>
      </c>
      <c r="E1241" s="8" t="s">
        <v>7952</v>
      </c>
      <c r="F1241" s="8" t="s">
        <v>7953</v>
      </c>
      <c r="G1241" s="6" t="s">
        <v>38</v>
      </c>
      <c r="H1241" s="6" t="s">
        <v>54</v>
      </c>
      <c r="I1241" s="8" t="s">
        <v>40</v>
      </c>
      <c r="J1241" s="9">
        <v>1</v>
      </c>
      <c r="K1241" s="9">
        <v>421</v>
      </c>
      <c r="L1241" s="9">
        <v>2023</v>
      </c>
      <c r="M1241" s="8" t="s">
        <v>7954</v>
      </c>
      <c r="N1241" s="8" t="s">
        <v>125</v>
      </c>
      <c r="O1241" s="8" t="s">
        <v>432</v>
      </c>
      <c r="P1241" s="6" t="s">
        <v>58</v>
      </c>
      <c r="Q1241" s="8" t="s">
        <v>45</v>
      </c>
      <c r="R1241" s="10" t="s">
        <v>7955</v>
      </c>
      <c r="S1241" s="11" t="s">
        <v>7956</v>
      </c>
      <c r="T1241" s="6"/>
      <c r="U1241" s="24" t="str">
        <f>HYPERLINK("https://media.infra-m.ru/1123/1123729/cover/1123729.jpg", "Обложка")</f>
        <v>Обложка</v>
      </c>
      <c r="V1241" s="24" t="str">
        <f>HYPERLINK("https://znanium.ru/catalog/product/1123729", "Ознакомиться")</f>
        <v>Ознакомиться</v>
      </c>
      <c r="W1241" s="8" t="s">
        <v>1831</v>
      </c>
      <c r="X1241" s="6"/>
      <c r="Y1241" s="6"/>
      <c r="Z1241" s="6" t="s">
        <v>48</v>
      </c>
      <c r="AA1241" s="6" t="s">
        <v>102</v>
      </c>
      <c r="AB1241" s="8"/>
    </row>
    <row r="1242" spans="1:28" s="4" customFormat="1" ht="42" customHeight="1">
      <c r="A1242" s="5">
        <v>0</v>
      </c>
      <c r="B1242" s="6" t="s">
        <v>7957</v>
      </c>
      <c r="C1242" s="7">
        <v>2090</v>
      </c>
      <c r="D1242" s="8" t="s">
        <v>7958</v>
      </c>
      <c r="E1242" s="8" t="s">
        <v>7959</v>
      </c>
      <c r="F1242" s="8" t="s">
        <v>906</v>
      </c>
      <c r="G1242" s="6" t="s">
        <v>38</v>
      </c>
      <c r="H1242" s="6" t="s">
        <v>54</v>
      </c>
      <c r="I1242" s="8" t="s">
        <v>40</v>
      </c>
      <c r="J1242" s="9">
        <v>1</v>
      </c>
      <c r="K1242" s="9">
        <v>396</v>
      </c>
      <c r="L1242" s="9">
        <v>2025</v>
      </c>
      <c r="M1242" s="8" t="s">
        <v>7960</v>
      </c>
      <c r="N1242" s="8" t="s">
        <v>125</v>
      </c>
      <c r="O1242" s="8" t="s">
        <v>432</v>
      </c>
      <c r="P1242" s="6" t="s">
        <v>58</v>
      </c>
      <c r="Q1242" s="8" t="s">
        <v>45</v>
      </c>
      <c r="R1242" s="10" t="s">
        <v>1266</v>
      </c>
      <c r="S1242" s="11"/>
      <c r="T1242" s="6"/>
      <c r="U1242" s="24" t="str">
        <f>HYPERLINK("https://media.infra-m.ru/2171/2171041/cover/2171041.jpg", "Обложка")</f>
        <v>Обложка</v>
      </c>
      <c r="V1242" s="24" t="str">
        <f>HYPERLINK("https://znanium.ru/catalog/product/2171041", "Ознакомиться")</f>
        <v>Ознакомиться</v>
      </c>
      <c r="W1242" s="8" t="s">
        <v>909</v>
      </c>
      <c r="X1242" s="6" t="s">
        <v>450</v>
      </c>
      <c r="Y1242" s="6"/>
      <c r="Z1242" s="6"/>
      <c r="AA1242" s="6" t="s">
        <v>84</v>
      </c>
      <c r="AB1242" s="8" t="s">
        <v>85</v>
      </c>
    </row>
    <row r="1243" spans="1:28" s="4" customFormat="1" ht="51.95" customHeight="1">
      <c r="A1243" s="5">
        <v>0</v>
      </c>
      <c r="B1243" s="6" t="s">
        <v>7961</v>
      </c>
      <c r="C1243" s="7">
        <v>1430</v>
      </c>
      <c r="D1243" s="8" t="s">
        <v>7962</v>
      </c>
      <c r="E1243" s="8" t="s">
        <v>7963</v>
      </c>
      <c r="F1243" s="8" t="s">
        <v>7964</v>
      </c>
      <c r="G1243" s="6" t="s">
        <v>90</v>
      </c>
      <c r="H1243" s="6" t="s">
        <v>54</v>
      </c>
      <c r="I1243" s="8" t="s">
        <v>40</v>
      </c>
      <c r="J1243" s="9">
        <v>1</v>
      </c>
      <c r="K1243" s="9">
        <v>285</v>
      </c>
      <c r="L1243" s="9">
        <v>2025</v>
      </c>
      <c r="M1243" s="8" t="s">
        <v>7965</v>
      </c>
      <c r="N1243" s="8" t="s">
        <v>125</v>
      </c>
      <c r="O1243" s="8" t="s">
        <v>432</v>
      </c>
      <c r="P1243" s="6" t="s">
        <v>44</v>
      </c>
      <c r="Q1243" s="8" t="s">
        <v>45</v>
      </c>
      <c r="R1243" s="10" t="s">
        <v>7966</v>
      </c>
      <c r="S1243" s="11" t="s">
        <v>7967</v>
      </c>
      <c r="T1243" s="6"/>
      <c r="U1243" s="24" t="str">
        <f>HYPERLINK("https://media.infra-m.ru/2160/2160912/cover/2160912.jpg", "Обложка")</f>
        <v>Обложка</v>
      </c>
      <c r="V1243" s="24" t="str">
        <f>HYPERLINK("https://znanium.ru/catalog/product/2160912", "Ознакомиться")</f>
        <v>Ознакомиться</v>
      </c>
      <c r="W1243" s="8" t="s">
        <v>2443</v>
      </c>
      <c r="X1243" s="6"/>
      <c r="Y1243" s="6"/>
      <c r="Z1243" s="6" t="s">
        <v>48</v>
      </c>
      <c r="AA1243" s="6" t="s">
        <v>740</v>
      </c>
      <c r="AB1243" s="8"/>
    </row>
    <row r="1244" spans="1:28" s="4" customFormat="1" ht="42" customHeight="1">
      <c r="A1244" s="5">
        <v>0</v>
      </c>
      <c r="B1244" s="6" t="s">
        <v>7968</v>
      </c>
      <c r="C1244" s="13">
        <v>950</v>
      </c>
      <c r="D1244" s="8" t="s">
        <v>7969</v>
      </c>
      <c r="E1244" s="8" t="s">
        <v>7970</v>
      </c>
      <c r="F1244" s="8" t="s">
        <v>430</v>
      </c>
      <c r="G1244" s="6" t="s">
        <v>67</v>
      </c>
      <c r="H1244" s="6" t="s">
        <v>68</v>
      </c>
      <c r="I1244" s="8" t="s">
        <v>69</v>
      </c>
      <c r="J1244" s="9">
        <v>1</v>
      </c>
      <c r="K1244" s="9">
        <v>202</v>
      </c>
      <c r="L1244" s="9">
        <v>2024</v>
      </c>
      <c r="M1244" s="8" t="s">
        <v>7971</v>
      </c>
      <c r="N1244" s="8" t="s">
        <v>125</v>
      </c>
      <c r="O1244" s="8" t="s">
        <v>432</v>
      </c>
      <c r="P1244" s="6" t="s">
        <v>58</v>
      </c>
      <c r="Q1244" s="8" t="s">
        <v>45</v>
      </c>
      <c r="R1244" s="10" t="s">
        <v>1398</v>
      </c>
      <c r="S1244" s="11"/>
      <c r="T1244" s="6"/>
      <c r="U1244" s="24" t="str">
        <f>HYPERLINK("https://media.infra-m.ru/2125/2125002/cover/2125002.jpg", "Обложка")</f>
        <v>Обложка</v>
      </c>
      <c r="V1244" s="24" t="str">
        <f>HYPERLINK("https://znanium.ru/catalog/product/2125002", "Ознакомиться")</f>
        <v>Ознакомиться</v>
      </c>
      <c r="W1244" s="8" t="s">
        <v>434</v>
      </c>
      <c r="X1244" s="6"/>
      <c r="Y1244" s="6" t="s">
        <v>30</v>
      </c>
      <c r="Z1244" s="6"/>
      <c r="AA1244" s="6" t="s">
        <v>766</v>
      </c>
      <c r="AB1244" s="8"/>
    </row>
    <row r="1245" spans="1:28" s="4" customFormat="1" ht="51.95" customHeight="1">
      <c r="A1245" s="5">
        <v>0</v>
      </c>
      <c r="B1245" s="6" t="s">
        <v>7972</v>
      </c>
      <c r="C1245" s="7">
        <v>1570</v>
      </c>
      <c r="D1245" s="8" t="s">
        <v>7973</v>
      </c>
      <c r="E1245" s="8" t="s">
        <v>7974</v>
      </c>
      <c r="F1245" s="8" t="s">
        <v>7975</v>
      </c>
      <c r="G1245" s="6" t="s">
        <v>90</v>
      </c>
      <c r="H1245" s="6" t="s">
        <v>299</v>
      </c>
      <c r="I1245" s="8" t="s">
        <v>40</v>
      </c>
      <c r="J1245" s="9">
        <v>1</v>
      </c>
      <c r="K1245" s="9">
        <v>336</v>
      </c>
      <c r="L1245" s="9">
        <v>2024</v>
      </c>
      <c r="M1245" s="8" t="s">
        <v>7976</v>
      </c>
      <c r="N1245" s="8" t="s">
        <v>125</v>
      </c>
      <c r="O1245" s="8" t="s">
        <v>432</v>
      </c>
      <c r="P1245" s="6" t="s">
        <v>58</v>
      </c>
      <c r="Q1245" s="8" t="s">
        <v>45</v>
      </c>
      <c r="R1245" s="10" t="s">
        <v>7977</v>
      </c>
      <c r="S1245" s="11" t="s">
        <v>7978</v>
      </c>
      <c r="T1245" s="6"/>
      <c r="U1245" s="24" t="str">
        <f>HYPERLINK("https://media.infra-m.ru/2110/2110036/cover/2110036.jpg", "Обложка")</f>
        <v>Обложка</v>
      </c>
      <c r="V1245" s="24" t="str">
        <f>HYPERLINK("https://znanium.ru/catalog/product/2110036", "Ознакомиться")</f>
        <v>Ознакомиться</v>
      </c>
      <c r="W1245" s="8" t="s">
        <v>82</v>
      </c>
      <c r="X1245" s="6"/>
      <c r="Y1245" s="6" t="s">
        <v>30</v>
      </c>
      <c r="Z1245" s="6"/>
      <c r="AA1245" s="6" t="s">
        <v>5933</v>
      </c>
      <c r="AB1245" s="8"/>
    </row>
    <row r="1246" spans="1:28" s="4" customFormat="1" ht="51.95" customHeight="1">
      <c r="A1246" s="5">
        <v>0</v>
      </c>
      <c r="B1246" s="6" t="s">
        <v>7979</v>
      </c>
      <c r="C1246" s="7">
        <v>2064</v>
      </c>
      <c r="D1246" s="8" t="s">
        <v>7980</v>
      </c>
      <c r="E1246" s="8" t="s">
        <v>7981</v>
      </c>
      <c r="F1246" s="8" t="s">
        <v>7982</v>
      </c>
      <c r="G1246" s="6" t="s">
        <v>90</v>
      </c>
      <c r="H1246" s="6" t="s">
        <v>39</v>
      </c>
      <c r="I1246" s="8" t="s">
        <v>69</v>
      </c>
      <c r="J1246" s="9">
        <v>1</v>
      </c>
      <c r="K1246" s="9">
        <v>414</v>
      </c>
      <c r="L1246" s="9">
        <v>2024</v>
      </c>
      <c r="M1246" s="8" t="s">
        <v>7983</v>
      </c>
      <c r="N1246" s="8" t="s">
        <v>125</v>
      </c>
      <c r="O1246" s="8" t="s">
        <v>432</v>
      </c>
      <c r="P1246" s="6" t="s">
        <v>58</v>
      </c>
      <c r="Q1246" s="8" t="s">
        <v>45</v>
      </c>
      <c r="R1246" s="10" t="s">
        <v>7984</v>
      </c>
      <c r="S1246" s="11" t="s">
        <v>4653</v>
      </c>
      <c r="T1246" s="6"/>
      <c r="U1246" s="24" t="str">
        <f>HYPERLINK("https://media.infra-m.ru/2137/2137026/cover/2137026.jpg", "Обложка")</f>
        <v>Обложка</v>
      </c>
      <c r="V1246" s="24" t="str">
        <f>HYPERLINK("https://znanium.ru/catalog/product/1215825", "Ознакомиться")</f>
        <v>Ознакомиться</v>
      </c>
      <c r="W1246" s="8" t="s">
        <v>73</v>
      </c>
      <c r="X1246" s="6"/>
      <c r="Y1246" s="6" t="s">
        <v>30</v>
      </c>
      <c r="Z1246" s="6"/>
      <c r="AA1246" s="6" t="s">
        <v>507</v>
      </c>
      <c r="AB1246" s="8"/>
    </row>
    <row r="1247" spans="1:28" s="4" customFormat="1" ht="51.95" customHeight="1">
      <c r="A1247" s="5">
        <v>0</v>
      </c>
      <c r="B1247" s="6" t="s">
        <v>7985</v>
      </c>
      <c r="C1247" s="7">
        <v>1270</v>
      </c>
      <c r="D1247" s="8" t="s">
        <v>7986</v>
      </c>
      <c r="E1247" s="8" t="s">
        <v>7987</v>
      </c>
      <c r="F1247" s="8" t="s">
        <v>7988</v>
      </c>
      <c r="G1247" s="6" t="s">
        <v>38</v>
      </c>
      <c r="H1247" s="6" t="s">
        <v>54</v>
      </c>
      <c r="I1247" s="8" t="s">
        <v>40</v>
      </c>
      <c r="J1247" s="9">
        <v>1</v>
      </c>
      <c r="K1247" s="9">
        <v>261</v>
      </c>
      <c r="L1247" s="9">
        <v>2023</v>
      </c>
      <c r="M1247" s="8" t="s">
        <v>7989</v>
      </c>
      <c r="N1247" s="8" t="s">
        <v>125</v>
      </c>
      <c r="O1247" s="8" t="s">
        <v>432</v>
      </c>
      <c r="P1247" s="6" t="s">
        <v>44</v>
      </c>
      <c r="Q1247" s="8" t="s">
        <v>45</v>
      </c>
      <c r="R1247" s="10" t="s">
        <v>1650</v>
      </c>
      <c r="S1247" s="11"/>
      <c r="T1247" s="6"/>
      <c r="U1247" s="24" t="str">
        <f>HYPERLINK("https://media.infra-m.ru/1550/1550594/cover/1550594.jpg", "Обложка")</f>
        <v>Обложка</v>
      </c>
      <c r="V1247" s="24" t="str">
        <f>HYPERLINK("https://znanium.ru/catalog/product/1550594", "Ознакомиться")</f>
        <v>Ознакомиться</v>
      </c>
      <c r="W1247" s="8" t="s">
        <v>7990</v>
      </c>
      <c r="X1247" s="6"/>
      <c r="Y1247" s="6"/>
      <c r="Z1247" s="6"/>
      <c r="AA1247" s="6" t="s">
        <v>102</v>
      </c>
      <c r="AB1247" s="8"/>
    </row>
    <row r="1248" spans="1:28" s="4" customFormat="1" ht="51.95" customHeight="1">
      <c r="A1248" s="5">
        <v>0</v>
      </c>
      <c r="B1248" s="6" t="s">
        <v>7991</v>
      </c>
      <c r="C1248" s="7">
        <v>1220</v>
      </c>
      <c r="D1248" s="8" t="s">
        <v>7992</v>
      </c>
      <c r="E1248" s="8" t="s">
        <v>7993</v>
      </c>
      <c r="F1248" s="8" t="s">
        <v>7994</v>
      </c>
      <c r="G1248" s="6" t="s">
        <v>90</v>
      </c>
      <c r="H1248" s="6" t="s">
        <v>54</v>
      </c>
      <c r="I1248" s="8" t="s">
        <v>40</v>
      </c>
      <c r="J1248" s="9">
        <v>1</v>
      </c>
      <c r="K1248" s="9">
        <v>221</v>
      </c>
      <c r="L1248" s="9">
        <v>2026</v>
      </c>
      <c r="M1248" s="8" t="s">
        <v>7995</v>
      </c>
      <c r="N1248" s="8" t="s">
        <v>56</v>
      </c>
      <c r="O1248" s="8" t="s">
        <v>807</v>
      </c>
      <c r="P1248" s="6" t="s">
        <v>44</v>
      </c>
      <c r="Q1248" s="8" t="s">
        <v>45</v>
      </c>
      <c r="R1248" s="10" t="s">
        <v>7996</v>
      </c>
      <c r="S1248" s="11" t="s">
        <v>7997</v>
      </c>
      <c r="T1248" s="6" t="s">
        <v>118</v>
      </c>
      <c r="U1248" s="24" t="str">
        <f>HYPERLINK("https://media.infra-m.ru/2225/2225086/cover/2225086.jpg", "Обложка")</f>
        <v>Обложка</v>
      </c>
      <c r="V1248" s="24" t="str">
        <f>HYPERLINK("https://znanium.ru/catalog/product/2107429", "Ознакомиться")</f>
        <v>Ознакомиться</v>
      </c>
      <c r="W1248" s="8" t="s">
        <v>3147</v>
      </c>
      <c r="X1248" s="6"/>
      <c r="Y1248" s="6" t="s">
        <v>30</v>
      </c>
      <c r="Z1248" s="6"/>
      <c r="AA1248" s="6" t="s">
        <v>147</v>
      </c>
      <c r="AB1248" s="8"/>
    </row>
    <row r="1249" spans="1:28" s="4" customFormat="1" ht="51.95" customHeight="1">
      <c r="A1249" s="5">
        <v>0</v>
      </c>
      <c r="B1249" s="6" t="s">
        <v>7998</v>
      </c>
      <c r="C1249" s="7">
        <v>1334</v>
      </c>
      <c r="D1249" s="8" t="s">
        <v>7999</v>
      </c>
      <c r="E1249" s="8" t="s">
        <v>8000</v>
      </c>
      <c r="F1249" s="8" t="s">
        <v>8001</v>
      </c>
      <c r="G1249" s="6" t="s">
        <v>90</v>
      </c>
      <c r="H1249" s="6" t="s">
        <v>299</v>
      </c>
      <c r="I1249" s="8"/>
      <c r="J1249" s="9">
        <v>1</v>
      </c>
      <c r="K1249" s="9">
        <v>256</v>
      </c>
      <c r="L1249" s="9">
        <v>2026</v>
      </c>
      <c r="M1249" s="8" t="s">
        <v>8002</v>
      </c>
      <c r="N1249" s="8" t="s">
        <v>56</v>
      </c>
      <c r="O1249" s="8" t="s">
        <v>57</v>
      </c>
      <c r="P1249" s="6" t="s">
        <v>44</v>
      </c>
      <c r="Q1249" s="8" t="s">
        <v>45</v>
      </c>
      <c r="R1249" s="10" t="s">
        <v>8003</v>
      </c>
      <c r="S1249" s="11" t="s">
        <v>8004</v>
      </c>
      <c r="T1249" s="6"/>
      <c r="U1249" s="24" t="str">
        <f>HYPERLINK("https://media.infra-m.ru/2213/2213275/cover/2213275.jpg", "Обложка")</f>
        <v>Обложка</v>
      </c>
      <c r="V1249" s="24" t="str">
        <f>HYPERLINK("https://znanium.ru/catalog/product/1237092", "Ознакомиться")</f>
        <v>Ознакомиться</v>
      </c>
      <c r="W1249" s="8" t="s">
        <v>8005</v>
      </c>
      <c r="X1249" s="6"/>
      <c r="Y1249" s="6"/>
      <c r="Z1249" s="6"/>
      <c r="AA1249" s="6" t="s">
        <v>270</v>
      </c>
      <c r="AB1249" s="8"/>
    </row>
    <row r="1250" spans="1:28" s="4" customFormat="1" ht="51.95" customHeight="1">
      <c r="A1250" s="5">
        <v>0</v>
      </c>
      <c r="B1250" s="6" t="s">
        <v>8006</v>
      </c>
      <c r="C1250" s="7">
        <v>1870</v>
      </c>
      <c r="D1250" s="8" t="s">
        <v>8007</v>
      </c>
      <c r="E1250" s="8" t="s">
        <v>8008</v>
      </c>
      <c r="F1250" s="8" t="s">
        <v>8009</v>
      </c>
      <c r="G1250" s="6" t="s">
        <v>90</v>
      </c>
      <c r="H1250" s="6" t="s">
        <v>39</v>
      </c>
      <c r="I1250" s="8" t="s">
        <v>40</v>
      </c>
      <c r="J1250" s="9">
        <v>1</v>
      </c>
      <c r="K1250" s="9">
        <v>416</v>
      </c>
      <c r="L1250" s="9">
        <v>2023</v>
      </c>
      <c r="M1250" s="8" t="s">
        <v>8010</v>
      </c>
      <c r="N1250" s="8" t="s">
        <v>42</v>
      </c>
      <c r="O1250" s="8" t="s">
        <v>169</v>
      </c>
      <c r="P1250" s="6" t="s">
        <v>44</v>
      </c>
      <c r="Q1250" s="8" t="s">
        <v>45</v>
      </c>
      <c r="R1250" s="10" t="s">
        <v>8011</v>
      </c>
      <c r="S1250" s="11" t="s">
        <v>3569</v>
      </c>
      <c r="T1250" s="6"/>
      <c r="U1250" s="24" t="str">
        <f>HYPERLINK("https://media.infra-m.ru/1965/1965754/cover/1965754.jpg", "Обложка")</f>
        <v>Обложка</v>
      </c>
      <c r="V1250" s="24" t="str">
        <f>HYPERLINK("https://znanium.ru/catalog/product/1965754", "Ознакомиться")</f>
        <v>Ознакомиться</v>
      </c>
      <c r="W1250" s="8" t="s">
        <v>1317</v>
      </c>
      <c r="X1250" s="6"/>
      <c r="Y1250" s="6"/>
      <c r="Z1250" s="6" t="s">
        <v>48</v>
      </c>
      <c r="AA1250" s="6" t="s">
        <v>111</v>
      </c>
      <c r="AB1250" s="8"/>
    </row>
    <row r="1251" spans="1:28" s="4" customFormat="1" ht="51.95" customHeight="1">
      <c r="A1251" s="5">
        <v>0</v>
      </c>
      <c r="B1251" s="6" t="s">
        <v>8012</v>
      </c>
      <c r="C1251" s="13">
        <v>939.9</v>
      </c>
      <c r="D1251" s="8" t="s">
        <v>8013</v>
      </c>
      <c r="E1251" s="8" t="s">
        <v>8014</v>
      </c>
      <c r="F1251" s="8" t="s">
        <v>6986</v>
      </c>
      <c r="G1251" s="6" t="s">
        <v>90</v>
      </c>
      <c r="H1251" s="6" t="s">
        <v>693</v>
      </c>
      <c r="I1251" s="8" t="s">
        <v>694</v>
      </c>
      <c r="J1251" s="9">
        <v>1</v>
      </c>
      <c r="K1251" s="9">
        <v>319</v>
      </c>
      <c r="L1251" s="9">
        <v>2017</v>
      </c>
      <c r="M1251" s="8" t="s">
        <v>8015</v>
      </c>
      <c r="N1251" s="8" t="s">
        <v>56</v>
      </c>
      <c r="O1251" s="8" t="s">
        <v>807</v>
      </c>
      <c r="P1251" s="6" t="s">
        <v>44</v>
      </c>
      <c r="Q1251" s="8" t="s">
        <v>45</v>
      </c>
      <c r="R1251" s="10" t="s">
        <v>6988</v>
      </c>
      <c r="S1251" s="11" t="s">
        <v>8016</v>
      </c>
      <c r="T1251" s="6"/>
      <c r="U1251" s="24" t="str">
        <f>HYPERLINK("https://media.infra-m.ru/0809/0809827/cover/809827.jpg", "Обложка")</f>
        <v>Обложка</v>
      </c>
      <c r="V1251" s="24" t="str">
        <f>HYPERLINK("https://znanium.ru/catalog/product/2226764", "Ознакомиться")</f>
        <v>Ознакомиться</v>
      </c>
      <c r="W1251" s="8" t="s">
        <v>180</v>
      </c>
      <c r="X1251" s="6"/>
      <c r="Y1251" s="6"/>
      <c r="Z1251" s="6"/>
      <c r="AA1251" s="6" t="s">
        <v>1644</v>
      </c>
      <c r="AB1251" s="8"/>
    </row>
    <row r="1252" spans="1:28" s="4" customFormat="1" ht="51.95" customHeight="1">
      <c r="A1252" s="5">
        <v>0</v>
      </c>
      <c r="B1252" s="6" t="s">
        <v>8017</v>
      </c>
      <c r="C1252" s="7">
        <v>1094</v>
      </c>
      <c r="D1252" s="8" t="s">
        <v>8018</v>
      </c>
      <c r="E1252" s="8" t="s">
        <v>8019</v>
      </c>
      <c r="F1252" s="8" t="s">
        <v>8020</v>
      </c>
      <c r="G1252" s="6" t="s">
        <v>90</v>
      </c>
      <c r="H1252" s="6" t="s">
        <v>54</v>
      </c>
      <c r="I1252" s="8" t="s">
        <v>40</v>
      </c>
      <c r="J1252" s="9">
        <v>1</v>
      </c>
      <c r="K1252" s="9">
        <v>218</v>
      </c>
      <c r="L1252" s="9">
        <v>2025</v>
      </c>
      <c r="M1252" s="8" t="s">
        <v>8021</v>
      </c>
      <c r="N1252" s="8" t="s">
        <v>42</v>
      </c>
      <c r="O1252" s="8" t="s">
        <v>187</v>
      </c>
      <c r="P1252" s="6" t="s">
        <v>58</v>
      </c>
      <c r="Q1252" s="8" t="s">
        <v>45</v>
      </c>
      <c r="R1252" s="10" t="s">
        <v>8022</v>
      </c>
      <c r="S1252" s="11" t="s">
        <v>8023</v>
      </c>
      <c r="T1252" s="6"/>
      <c r="U1252" s="24" t="str">
        <f>HYPERLINK("https://media.infra-m.ru/2186/2186865/cover/2186865.jpg", "Обложка")</f>
        <v>Обложка</v>
      </c>
      <c r="V1252" s="24" t="str">
        <f>HYPERLINK("https://znanium.ru/catalog/product/2023172", "Ознакомиться")</f>
        <v>Ознакомиться</v>
      </c>
      <c r="W1252" s="8" t="s">
        <v>190</v>
      </c>
      <c r="X1252" s="6"/>
      <c r="Y1252" s="6" t="s">
        <v>30</v>
      </c>
      <c r="Z1252" s="6"/>
      <c r="AA1252" s="6" t="s">
        <v>237</v>
      </c>
      <c r="AB1252" s="8"/>
    </row>
    <row r="1253" spans="1:28" s="4" customFormat="1" ht="51.95" customHeight="1">
      <c r="A1253" s="5">
        <v>0</v>
      </c>
      <c r="B1253" s="6" t="s">
        <v>8024</v>
      </c>
      <c r="C1253" s="7">
        <v>1960</v>
      </c>
      <c r="D1253" s="8" t="s">
        <v>8025</v>
      </c>
      <c r="E1253" s="8" t="s">
        <v>8026</v>
      </c>
      <c r="F1253" s="8" t="s">
        <v>8027</v>
      </c>
      <c r="G1253" s="6" t="s">
        <v>38</v>
      </c>
      <c r="H1253" s="6" t="s">
        <v>39</v>
      </c>
      <c r="I1253" s="8" t="s">
        <v>40</v>
      </c>
      <c r="J1253" s="9">
        <v>1</v>
      </c>
      <c r="K1253" s="9">
        <v>416</v>
      </c>
      <c r="L1253" s="9">
        <v>2024</v>
      </c>
      <c r="M1253" s="8" t="s">
        <v>8028</v>
      </c>
      <c r="N1253" s="8" t="s">
        <v>42</v>
      </c>
      <c r="O1253" s="8" t="s">
        <v>169</v>
      </c>
      <c r="P1253" s="6" t="s">
        <v>44</v>
      </c>
      <c r="Q1253" s="8" t="s">
        <v>45</v>
      </c>
      <c r="R1253" s="10" t="s">
        <v>8029</v>
      </c>
      <c r="S1253" s="11" t="s">
        <v>1106</v>
      </c>
      <c r="T1253" s="6"/>
      <c r="U1253" s="24" t="str">
        <f>HYPERLINK("https://media.infra-m.ru/2048/2048906/cover/2048906.jpg", "Обложка")</f>
        <v>Обложка</v>
      </c>
      <c r="V1253" s="24" t="str">
        <f>HYPERLINK("https://znanium.ru/catalog/product/2048906", "Ознакомиться")</f>
        <v>Ознакомиться</v>
      </c>
      <c r="W1253" s="8" t="s">
        <v>4166</v>
      </c>
      <c r="X1253" s="6"/>
      <c r="Y1253" s="6"/>
      <c r="Z1253" s="6"/>
      <c r="AA1253" s="6" t="s">
        <v>387</v>
      </c>
      <c r="AB1253" s="8"/>
    </row>
    <row r="1254" spans="1:28" s="4" customFormat="1" ht="51.95" customHeight="1">
      <c r="A1254" s="5">
        <v>0</v>
      </c>
      <c r="B1254" s="6" t="s">
        <v>8030</v>
      </c>
      <c r="C1254" s="7">
        <v>2404</v>
      </c>
      <c r="D1254" s="8" t="s">
        <v>8031</v>
      </c>
      <c r="E1254" s="8" t="s">
        <v>8032</v>
      </c>
      <c r="F1254" s="8" t="s">
        <v>8033</v>
      </c>
      <c r="G1254" s="6" t="s">
        <v>38</v>
      </c>
      <c r="H1254" s="6" t="s">
        <v>39</v>
      </c>
      <c r="I1254" s="8" t="s">
        <v>69</v>
      </c>
      <c r="J1254" s="9">
        <v>1</v>
      </c>
      <c r="K1254" s="9">
        <v>576</v>
      </c>
      <c r="L1254" s="9">
        <v>2026</v>
      </c>
      <c r="M1254" s="8" t="s">
        <v>8034</v>
      </c>
      <c r="N1254" s="8" t="s">
        <v>42</v>
      </c>
      <c r="O1254" s="8" t="s">
        <v>553</v>
      </c>
      <c r="P1254" s="6" t="s">
        <v>44</v>
      </c>
      <c r="Q1254" s="8" t="s">
        <v>45</v>
      </c>
      <c r="R1254" s="10" t="s">
        <v>8035</v>
      </c>
      <c r="S1254" s="11" t="s">
        <v>8036</v>
      </c>
      <c r="T1254" s="6"/>
      <c r="U1254" s="24" t="str">
        <f>HYPERLINK("https://media.infra-m.ru/2220/2220011/cover/2220011.jpg", "Обложка")</f>
        <v>Обложка</v>
      </c>
      <c r="V1254" s="12"/>
      <c r="W1254" s="8" t="s">
        <v>8037</v>
      </c>
      <c r="X1254" s="6"/>
      <c r="Y1254" s="6"/>
      <c r="Z1254" s="6"/>
      <c r="AA1254" s="6" t="s">
        <v>1644</v>
      </c>
      <c r="AB1254" s="8"/>
    </row>
    <row r="1255" spans="1:28" s="4" customFormat="1" ht="51.95" customHeight="1">
      <c r="A1255" s="5">
        <v>0</v>
      </c>
      <c r="B1255" s="6" t="s">
        <v>8038</v>
      </c>
      <c r="C1255" s="7">
        <v>2874</v>
      </c>
      <c r="D1255" s="8" t="s">
        <v>8039</v>
      </c>
      <c r="E1255" s="8" t="s">
        <v>8040</v>
      </c>
      <c r="F1255" s="8" t="s">
        <v>8041</v>
      </c>
      <c r="G1255" s="6" t="s">
        <v>38</v>
      </c>
      <c r="H1255" s="6" t="s">
        <v>54</v>
      </c>
      <c r="I1255" s="8" t="s">
        <v>40</v>
      </c>
      <c r="J1255" s="9">
        <v>1</v>
      </c>
      <c r="K1255" s="9">
        <v>552</v>
      </c>
      <c r="L1255" s="9">
        <v>2025</v>
      </c>
      <c r="M1255" s="8" t="s">
        <v>8042</v>
      </c>
      <c r="N1255" s="8" t="s">
        <v>42</v>
      </c>
      <c r="O1255" s="8" t="s">
        <v>553</v>
      </c>
      <c r="P1255" s="6" t="s">
        <v>58</v>
      </c>
      <c r="Q1255" s="8" t="s">
        <v>45</v>
      </c>
      <c r="R1255" s="10" t="s">
        <v>4241</v>
      </c>
      <c r="S1255" s="11" t="s">
        <v>8043</v>
      </c>
      <c r="T1255" s="6"/>
      <c r="U1255" s="24" t="str">
        <f>HYPERLINK("https://media.infra-m.ru/2196/2196571/cover/2196571.jpg", "Обложка")</f>
        <v>Обложка</v>
      </c>
      <c r="V1255" s="24" t="str">
        <f>HYPERLINK("https://znanium.ru/catalog/product/2170975", "Ознакомиться")</f>
        <v>Ознакомиться</v>
      </c>
      <c r="W1255" s="8" t="s">
        <v>8037</v>
      </c>
      <c r="X1255" s="6"/>
      <c r="Y1255" s="6" t="s">
        <v>30</v>
      </c>
      <c r="Z1255" s="6"/>
      <c r="AA1255" s="6" t="s">
        <v>223</v>
      </c>
      <c r="AB1255" s="8"/>
    </row>
    <row r="1256" spans="1:28" s="4" customFormat="1" ht="51.95" customHeight="1">
      <c r="A1256" s="5">
        <v>0</v>
      </c>
      <c r="B1256" s="6" t="s">
        <v>8044</v>
      </c>
      <c r="C1256" s="13">
        <v>990</v>
      </c>
      <c r="D1256" s="8" t="s">
        <v>8045</v>
      </c>
      <c r="E1256" s="8" t="s">
        <v>8046</v>
      </c>
      <c r="F1256" s="8" t="s">
        <v>4667</v>
      </c>
      <c r="G1256" s="6" t="s">
        <v>67</v>
      </c>
      <c r="H1256" s="6" t="s">
        <v>54</v>
      </c>
      <c r="I1256" s="8" t="s">
        <v>40</v>
      </c>
      <c r="J1256" s="9">
        <v>1</v>
      </c>
      <c r="K1256" s="9">
        <v>192</v>
      </c>
      <c r="L1256" s="9">
        <v>2025</v>
      </c>
      <c r="M1256" s="8" t="s">
        <v>8047</v>
      </c>
      <c r="N1256" s="8" t="s">
        <v>56</v>
      </c>
      <c r="O1256" s="8" t="s">
        <v>807</v>
      </c>
      <c r="P1256" s="6" t="s">
        <v>44</v>
      </c>
      <c r="Q1256" s="8" t="s">
        <v>45</v>
      </c>
      <c r="R1256" s="10" t="s">
        <v>8048</v>
      </c>
      <c r="S1256" s="11"/>
      <c r="T1256" s="6" t="s">
        <v>118</v>
      </c>
      <c r="U1256" s="24" t="str">
        <f>HYPERLINK("https://media.infra-m.ru/2168/2168925/cover/2168925.jpg", "Обложка")</f>
        <v>Обложка</v>
      </c>
      <c r="V1256" s="24" t="str">
        <f>HYPERLINK("https://znanium.ru/catalog/product/2168925", "Ознакомиться")</f>
        <v>Ознакомиться</v>
      </c>
      <c r="W1256" s="8" t="s">
        <v>3814</v>
      </c>
      <c r="X1256" s="6"/>
      <c r="Y1256" s="6"/>
      <c r="Z1256" s="6" t="s">
        <v>48</v>
      </c>
      <c r="AA1256" s="6" t="s">
        <v>84</v>
      </c>
      <c r="AB1256" s="8"/>
    </row>
    <row r="1257" spans="1:28" s="4" customFormat="1" ht="51.95" customHeight="1">
      <c r="A1257" s="5">
        <v>0</v>
      </c>
      <c r="B1257" s="6" t="s">
        <v>8049</v>
      </c>
      <c r="C1257" s="7">
        <v>2797</v>
      </c>
      <c r="D1257" s="8" t="s">
        <v>8050</v>
      </c>
      <c r="E1257" s="8" t="s">
        <v>8051</v>
      </c>
      <c r="F1257" s="8" t="s">
        <v>8052</v>
      </c>
      <c r="G1257" s="6" t="s">
        <v>90</v>
      </c>
      <c r="H1257" s="6" t="s">
        <v>54</v>
      </c>
      <c r="I1257" s="8" t="s">
        <v>40</v>
      </c>
      <c r="J1257" s="9">
        <v>1</v>
      </c>
      <c r="K1257" s="9">
        <v>400</v>
      </c>
      <c r="L1257" s="9">
        <v>2026</v>
      </c>
      <c r="M1257" s="8" t="s">
        <v>8053</v>
      </c>
      <c r="N1257" s="8" t="s">
        <v>42</v>
      </c>
      <c r="O1257" s="8" t="s">
        <v>1370</v>
      </c>
      <c r="P1257" s="6" t="s">
        <v>58</v>
      </c>
      <c r="Q1257" s="8" t="s">
        <v>45</v>
      </c>
      <c r="R1257" s="10" t="s">
        <v>8054</v>
      </c>
      <c r="S1257" s="11" t="s">
        <v>8055</v>
      </c>
      <c r="T1257" s="6"/>
      <c r="U1257" s="24" t="str">
        <f>HYPERLINK("https://media.infra-m.ru/2187/2187083/cover/2187083.jpg", "Обложка")</f>
        <v>Обложка</v>
      </c>
      <c r="V1257" s="24" t="str">
        <f>HYPERLINK("https://znanium.ru/catalog/product/1190674", "Ознакомиться")</f>
        <v>Ознакомиться</v>
      </c>
      <c r="W1257" s="8" t="s">
        <v>3749</v>
      </c>
      <c r="X1257" s="6"/>
      <c r="Y1257" s="6"/>
      <c r="Z1257" s="6"/>
      <c r="AA1257" s="6" t="s">
        <v>1730</v>
      </c>
      <c r="AB1257" s="8"/>
    </row>
    <row r="1258" spans="1:28" s="4" customFormat="1" ht="51.95" customHeight="1">
      <c r="A1258" s="5">
        <v>0</v>
      </c>
      <c r="B1258" s="6" t="s">
        <v>8056</v>
      </c>
      <c r="C1258" s="7">
        <v>1770</v>
      </c>
      <c r="D1258" s="8" t="s">
        <v>8057</v>
      </c>
      <c r="E1258" s="8" t="s">
        <v>8058</v>
      </c>
      <c r="F1258" s="8" t="s">
        <v>8059</v>
      </c>
      <c r="G1258" s="6" t="s">
        <v>90</v>
      </c>
      <c r="H1258" s="6" t="s">
        <v>299</v>
      </c>
      <c r="I1258" s="8" t="s">
        <v>40</v>
      </c>
      <c r="J1258" s="9">
        <v>1</v>
      </c>
      <c r="K1258" s="9">
        <v>336</v>
      </c>
      <c r="L1258" s="9">
        <v>2026</v>
      </c>
      <c r="M1258" s="8" t="s">
        <v>8060</v>
      </c>
      <c r="N1258" s="8" t="s">
        <v>42</v>
      </c>
      <c r="O1258" s="8" t="s">
        <v>43</v>
      </c>
      <c r="P1258" s="6" t="s">
        <v>44</v>
      </c>
      <c r="Q1258" s="8" t="s">
        <v>45</v>
      </c>
      <c r="R1258" s="10" t="s">
        <v>8061</v>
      </c>
      <c r="S1258" s="11" t="s">
        <v>4600</v>
      </c>
      <c r="T1258" s="6"/>
      <c r="U1258" s="24" t="str">
        <f>HYPERLINK("https://media.infra-m.ru/2219/2219434/cover/2219434.jpg", "Обложка")</f>
        <v>Обложка</v>
      </c>
      <c r="V1258" s="24" t="str">
        <f>HYPERLINK("https://znanium.ru/catalog/product/2219434", "Ознакомиться")</f>
        <v>Ознакомиться</v>
      </c>
      <c r="W1258" s="8" t="s">
        <v>834</v>
      </c>
      <c r="X1258" s="6"/>
      <c r="Y1258" s="6" t="s">
        <v>30</v>
      </c>
      <c r="Z1258" s="6"/>
      <c r="AA1258" s="6" t="s">
        <v>304</v>
      </c>
      <c r="AB1258" s="8"/>
    </row>
    <row r="1259" spans="1:28" s="4" customFormat="1" ht="51.95" customHeight="1">
      <c r="A1259" s="5">
        <v>0</v>
      </c>
      <c r="B1259" s="6" t="s">
        <v>8062</v>
      </c>
      <c r="C1259" s="7">
        <v>1090</v>
      </c>
      <c r="D1259" s="8" t="s">
        <v>8063</v>
      </c>
      <c r="E1259" s="8" t="s">
        <v>8064</v>
      </c>
      <c r="F1259" s="8" t="s">
        <v>8065</v>
      </c>
      <c r="G1259" s="6" t="s">
        <v>38</v>
      </c>
      <c r="H1259" s="6" t="s">
        <v>299</v>
      </c>
      <c r="I1259" s="8" t="s">
        <v>40</v>
      </c>
      <c r="J1259" s="9">
        <v>1</v>
      </c>
      <c r="K1259" s="9">
        <v>192</v>
      </c>
      <c r="L1259" s="9">
        <v>2026</v>
      </c>
      <c r="M1259" s="8" t="s">
        <v>8066</v>
      </c>
      <c r="N1259" s="8" t="s">
        <v>42</v>
      </c>
      <c r="O1259" s="8" t="s">
        <v>169</v>
      </c>
      <c r="P1259" s="6" t="s">
        <v>44</v>
      </c>
      <c r="Q1259" s="8" t="s">
        <v>45</v>
      </c>
      <c r="R1259" s="10" t="s">
        <v>8067</v>
      </c>
      <c r="S1259" s="11"/>
      <c r="T1259" s="6"/>
      <c r="U1259" s="24" t="str">
        <f>HYPERLINK("https://media.infra-m.ru/2184/2184603/cover/2184603.jpg", "Обложка")</f>
        <v>Обложка</v>
      </c>
      <c r="V1259" s="24" t="str">
        <f>HYPERLINK("https://znanium.ru/catalog/product/2184603", "Ознакомиться")</f>
        <v>Ознакомиться</v>
      </c>
      <c r="W1259" s="8" t="s">
        <v>593</v>
      </c>
      <c r="X1259" s="6" t="s">
        <v>1400</v>
      </c>
      <c r="Y1259" s="6"/>
      <c r="Z1259" s="6"/>
      <c r="AA1259" s="6" t="s">
        <v>62</v>
      </c>
      <c r="AB1259" s="8"/>
    </row>
    <row r="1260" spans="1:28" s="4" customFormat="1" ht="51.95" customHeight="1">
      <c r="A1260" s="5">
        <v>0</v>
      </c>
      <c r="B1260" s="6" t="s">
        <v>8068</v>
      </c>
      <c r="C1260" s="13">
        <v>830</v>
      </c>
      <c r="D1260" s="8" t="s">
        <v>8069</v>
      </c>
      <c r="E1260" s="8" t="s">
        <v>8070</v>
      </c>
      <c r="F1260" s="8" t="s">
        <v>8071</v>
      </c>
      <c r="G1260" s="6" t="s">
        <v>67</v>
      </c>
      <c r="H1260" s="6" t="s">
        <v>39</v>
      </c>
      <c r="I1260" s="8" t="s">
        <v>40</v>
      </c>
      <c r="J1260" s="9">
        <v>1</v>
      </c>
      <c r="K1260" s="9">
        <v>160</v>
      </c>
      <c r="L1260" s="9">
        <v>2025</v>
      </c>
      <c r="M1260" s="8" t="s">
        <v>8072</v>
      </c>
      <c r="N1260" s="8" t="s">
        <v>535</v>
      </c>
      <c r="O1260" s="8" t="s">
        <v>1048</v>
      </c>
      <c r="P1260" s="6" t="s">
        <v>44</v>
      </c>
      <c r="Q1260" s="8" t="s">
        <v>45</v>
      </c>
      <c r="R1260" s="10" t="s">
        <v>8073</v>
      </c>
      <c r="S1260" s="11" t="s">
        <v>1909</v>
      </c>
      <c r="T1260" s="6"/>
      <c r="U1260" s="24" t="str">
        <f>HYPERLINK("https://media.infra-m.ru/2205/2205432/cover/2205432.jpg", "Обложка")</f>
        <v>Обложка</v>
      </c>
      <c r="V1260" s="24" t="str">
        <f>HYPERLINK("https://znanium.ru/catalog/product/2205432", "Ознакомиться")</f>
        <v>Ознакомиться</v>
      </c>
      <c r="W1260" s="8" t="s">
        <v>82</v>
      </c>
      <c r="X1260" s="6"/>
      <c r="Y1260" s="6" t="s">
        <v>30</v>
      </c>
      <c r="Z1260" s="6"/>
      <c r="AA1260" s="6" t="s">
        <v>253</v>
      </c>
      <c r="AB1260" s="8"/>
    </row>
    <row r="1261" spans="1:28" s="4" customFormat="1" ht="51.95" customHeight="1">
      <c r="A1261" s="5">
        <v>0</v>
      </c>
      <c r="B1261" s="6" t="s">
        <v>8074</v>
      </c>
      <c r="C1261" s="7">
        <v>1340</v>
      </c>
      <c r="D1261" s="8" t="s">
        <v>8075</v>
      </c>
      <c r="E1261" s="8" t="s">
        <v>8070</v>
      </c>
      <c r="F1261" s="8" t="s">
        <v>8076</v>
      </c>
      <c r="G1261" s="6" t="s">
        <v>90</v>
      </c>
      <c r="H1261" s="6" t="s">
        <v>54</v>
      </c>
      <c r="I1261" s="8" t="s">
        <v>40</v>
      </c>
      <c r="J1261" s="9">
        <v>1</v>
      </c>
      <c r="K1261" s="9">
        <v>256</v>
      </c>
      <c r="L1261" s="9">
        <v>2025</v>
      </c>
      <c r="M1261" s="8" t="s">
        <v>8077</v>
      </c>
      <c r="N1261" s="8" t="s">
        <v>535</v>
      </c>
      <c r="O1261" s="8" t="s">
        <v>1048</v>
      </c>
      <c r="P1261" s="6" t="s">
        <v>58</v>
      </c>
      <c r="Q1261" s="8" t="s">
        <v>45</v>
      </c>
      <c r="R1261" s="10" t="s">
        <v>8078</v>
      </c>
      <c r="S1261" s="11" t="s">
        <v>7868</v>
      </c>
      <c r="T1261" s="6"/>
      <c r="U1261" s="24" t="str">
        <f>HYPERLINK("https://media.infra-m.ru/2169/2169729/cover/2169729.jpg", "Обложка")</f>
        <v>Обложка</v>
      </c>
      <c r="V1261" s="24" t="str">
        <f>HYPERLINK("https://znanium.ru/catalog/product/2084084", "Ознакомиться")</f>
        <v>Ознакомиться</v>
      </c>
      <c r="W1261" s="8" t="s">
        <v>269</v>
      </c>
      <c r="X1261" s="6"/>
      <c r="Y1261" s="6" t="s">
        <v>30</v>
      </c>
      <c r="Z1261" s="6"/>
      <c r="AA1261" s="6" t="s">
        <v>8079</v>
      </c>
      <c r="AB1261" s="8"/>
    </row>
    <row r="1262" spans="1:28" s="4" customFormat="1" ht="51.95" customHeight="1">
      <c r="A1262" s="5">
        <v>0</v>
      </c>
      <c r="B1262" s="6" t="s">
        <v>8080</v>
      </c>
      <c r="C1262" s="13">
        <v>780</v>
      </c>
      <c r="D1262" s="8" t="s">
        <v>8081</v>
      </c>
      <c r="E1262" s="8" t="s">
        <v>8082</v>
      </c>
      <c r="F1262" s="8" t="s">
        <v>8083</v>
      </c>
      <c r="G1262" s="6" t="s">
        <v>38</v>
      </c>
      <c r="H1262" s="6" t="s">
        <v>54</v>
      </c>
      <c r="I1262" s="8" t="s">
        <v>568</v>
      </c>
      <c r="J1262" s="9">
        <v>1</v>
      </c>
      <c r="K1262" s="9">
        <v>153</v>
      </c>
      <c r="L1262" s="9">
        <v>2024</v>
      </c>
      <c r="M1262" s="8" t="s">
        <v>8084</v>
      </c>
      <c r="N1262" s="8" t="s">
        <v>535</v>
      </c>
      <c r="O1262" s="8" t="s">
        <v>1048</v>
      </c>
      <c r="P1262" s="6" t="s">
        <v>44</v>
      </c>
      <c r="Q1262" s="8" t="s">
        <v>45</v>
      </c>
      <c r="R1262" s="10" t="s">
        <v>8085</v>
      </c>
      <c r="S1262" s="11" t="s">
        <v>8086</v>
      </c>
      <c r="T1262" s="6"/>
      <c r="U1262" s="24" t="str">
        <f>HYPERLINK("https://media.infra-m.ru/2082/2082734/cover/2082734.jpg", "Обложка")</f>
        <v>Обложка</v>
      </c>
      <c r="V1262" s="24" t="str">
        <f>HYPERLINK("https://znanium.ru/catalog/product/2082734", "Ознакомиться")</f>
        <v>Ознакомиться</v>
      </c>
      <c r="W1262" s="8" t="s">
        <v>1180</v>
      </c>
      <c r="X1262" s="6"/>
      <c r="Y1262" s="6"/>
      <c r="Z1262" s="6"/>
      <c r="AA1262" s="6" t="s">
        <v>354</v>
      </c>
      <c r="AB1262" s="8"/>
    </row>
    <row r="1263" spans="1:28" s="4" customFormat="1" ht="51.95" customHeight="1">
      <c r="A1263" s="5">
        <v>0</v>
      </c>
      <c r="B1263" s="6" t="s">
        <v>8087</v>
      </c>
      <c r="C1263" s="13">
        <v>680</v>
      </c>
      <c r="D1263" s="8" t="s">
        <v>8088</v>
      </c>
      <c r="E1263" s="8" t="s">
        <v>8089</v>
      </c>
      <c r="F1263" s="8" t="s">
        <v>8090</v>
      </c>
      <c r="G1263" s="6" t="s">
        <v>90</v>
      </c>
      <c r="H1263" s="6" t="s">
        <v>54</v>
      </c>
      <c r="I1263" s="8" t="s">
        <v>40</v>
      </c>
      <c r="J1263" s="9">
        <v>1</v>
      </c>
      <c r="K1263" s="9">
        <v>133</v>
      </c>
      <c r="L1263" s="9">
        <v>2024</v>
      </c>
      <c r="M1263" s="8" t="s">
        <v>8091</v>
      </c>
      <c r="N1263" s="8" t="s">
        <v>125</v>
      </c>
      <c r="O1263" s="8" t="s">
        <v>352</v>
      </c>
      <c r="P1263" s="6" t="s">
        <v>44</v>
      </c>
      <c r="Q1263" s="8" t="s">
        <v>45</v>
      </c>
      <c r="R1263" s="10" t="s">
        <v>108</v>
      </c>
      <c r="S1263" s="11" t="s">
        <v>8092</v>
      </c>
      <c r="T1263" s="6"/>
      <c r="U1263" s="24" t="str">
        <f>HYPERLINK("https://media.infra-m.ru/2125/2125930/cover/2125930.jpg", "Обложка")</f>
        <v>Обложка</v>
      </c>
      <c r="V1263" s="24" t="str">
        <f>HYPERLINK("https://znanium.ru/catalog/product/2125930", "Ознакомиться")</f>
        <v>Ознакомиться</v>
      </c>
      <c r="W1263" s="8" t="s">
        <v>466</v>
      </c>
      <c r="X1263" s="6"/>
      <c r="Y1263" s="6"/>
      <c r="Z1263" s="6"/>
      <c r="AA1263" s="6" t="s">
        <v>1027</v>
      </c>
      <c r="AB1263" s="8"/>
    </row>
    <row r="1264" spans="1:28" s="4" customFormat="1" ht="51.95" customHeight="1">
      <c r="A1264" s="5">
        <v>0</v>
      </c>
      <c r="B1264" s="6" t="s">
        <v>8093</v>
      </c>
      <c r="C1264" s="13">
        <v>694.9</v>
      </c>
      <c r="D1264" s="8" t="s">
        <v>8094</v>
      </c>
      <c r="E1264" s="8" t="s">
        <v>8095</v>
      </c>
      <c r="F1264" s="8" t="s">
        <v>8096</v>
      </c>
      <c r="G1264" s="6" t="s">
        <v>38</v>
      </c>
      <c r="H1264" s="6" t="s">
        <v>299</v>
      </c>
      <c r="I1264" s="8" t="s">
        <v>69</v>
      </c>
      <c r="J1264" s="9">
        <v>1</v>
      </c>
      <c r="K1264" s="9">
        <v>240</v>
      </c>
      <c r="L1264" s="9">
        <v>2018</v>
      </c>
      <c r="M1264" s="8" t="s">
        <v>8097</v>
      </c>
      <c r="N1264" s="8" t="s">
        <v>125</v>
      </c>
      <c r="O1264" s="8" t="s">
        <v>352</v>
      </c>
      <c r="P1264" s="6" t="s">
        <v>44</v>
      </c>
      <c r="Q1264" s="8" t="s">
        <v>45</v>
      </c>
      <c r="R1264" s="10" t="s">
        <v>108</v>
      </c>
      <c r="S1264" s="11" t="s">
        <v>8098</v>
      </c>
      <c r="T1264" s="6"/>
      <c r="U1264" s="24" t="str">
        <f>HYPERLINK("https://media.infra-m.ru/0937/0937327/cover/937327.jpg", "Обложка")</f>
        <v>Обложка</v>
      </c>
      <c r="V1264" s="24" t="str">
        <f>HYPERLINK("https://znanium.ru/catalog/product/2125930", "Ознакомиться")</f>
        <v>Ознакомиться</v>
      </c>
      <c r="W1264" s="8" t="s">
        <v>466</v>
      </c>
      <c r="X1264" s="6"/>
      <c r="Y1264" s="6"/>
      <c r="Z1264" s="6"/>
      <c r="AA1264" s="6" t="s">
        <v>5050</v>
      </c>
      <c r="AB1264" s="8"/>
    </row>
    <row r="1265" spans="1:28" s="4" customFormat="1" ht="51.95" customHeight="1">
      <c r="A1265" s="5">
        <v>0</v>
      </c>
      <c r="B1265" s="6" t="s">
        <v>8099</v>
      </c>
      <c r="C1265" s="7">
        <v>2084</v>
      </c>
      <c r="D1265" s="8" t="s">
        <v>8100</v>
      </c>
      <c r="E1265" s="8" t="s">
        <v>8101</v>
      </c>
      <c r="F1265" s="8" t="s">
        <v>8102</v>
      </c>
      <c r="G1265" s="6" t="s">
        <v>90</v>
      </c>
      <c r="H1265" s="6" t="s">
        <v>299</v>
      </c>
      <c r="I1265" s="8" t="s">
        <v>40</v>
      </c>
      <c r="J1265" s="9">
        <v>1</v>
      </c>
      <c r="K1265" s="9">
        <v>399</v>
      </c>
      <c r="L1265" s="9">
        <v>2025</v>
      </c>
      <c r="M1265" s="8" t="s">
        <v>8103</v>
      </c>
      <c r="N1265" s="8" t="s">
        <v>125</v>
      </c>
      <c r="O1265" s="8" t="s">
        <v>352</v>
      </c>
      <c r="P1265" s="6" t="s">
        <v>58</v>
      </c>
      <c r="Q1265" s="8" t="s">
        <v>45</v>
      </c>
      <c r="R1265" s="10" t="s">
        <v>108</v>
      </c>
      <c r="S1265" s="11" t="s">
        <v>8104</v>
      </c>
      <c r="T1265" s="6"/>
      <c r="U1265" s="24" t="str">
        <f>HYPERLINK("https://media.infra-m.ru/2202/2202104/cover/2202104.jpg", "Обложка")</f>
        <v>Обложка</v>
      </c>
      <c r="V1265" s="24" t="str">
        <f>HYPERLINK("https://znanium.ru/catalog/product/2186175", "Ознакомиться")</f>
        <v>Ознакомиться</v>
      </c>
      <c r="W1265" s="8" t="s">
        <v>361</v>
      </c>
      <c r="X1265" s="6"/>
      <c r="Y1265" s="6"/>
      <c r="Z1265" s="6"/>
      <c r="AA1265" s="6" t="s">
        <v>819</v>
      </c>
      <c r="AB1265" s="8"/>
    </row>
    <row r="1266" spans="1:28" s="4" customFormat="1" ht="51.95" customHeight="1">
      <c r="A1266" s="5">
        <v>0</v>
      </c>
      <c r="B1266" s="6" t="s">
        <v>8105</v>
      </c>
      <c r="C1266" s="7">
        <v>1280</v>
      </c>
      <c r="D1266" s="8" t="s">
        <v>8106</v>
      </c>
      <c r="E1266" s="8" t="s">
        <v>8107</v>
      </c>
      <c r="F1266" s="8" t="s">
        <v>8108</v>
      </c>
      <c r="G1266" s="6" t="s">
        <v>38</v>
      </c>
      <c r="H1266" s="6" t="s">
        <v>54</v>
      </c>
      <c r="I1266" s="8" t="s">
        <v>568</v>
      </c>
      <c r="J1266" s="9">
        <v>1</v>
      </c>
      <c r="K1266" s="9">
        <v>270</v>
      </c>
      <c r="L1266" s="9">
        <v>2024</v>
      </c>
      <c r="M1266" s="8" t="s">
        <v>8109</v>
      </c>
      <c r="N1266" s="8" t="s">
        <v>535</v>
      </c>
      <c r="O1266" s="8" t="s">
        <v>1048</v>
      </c>
      <c r="P1266" s="6" t="s">
        <v>44</v>
      </c>
      <c r="Q1266" s="8" t="s">
        <v>45</v>
      </c>
      <c r="R1266" s="10" t="s">
        <v>8110</v>
      </c>
      <c r="S1266" s="11" t="s">
        <v>8111</v>
      </c>
      <c r="T1266" s="6"/>
      <c r="U1266" s="24" t="str">
        <f>HYPERLINK("https://media.infra-m.ru/2133/2133639/cover/2133639.jpg", "Обложка")</f>
        <v>Обложка</v>
      </c>
      <c r="V1266" s="24" t="str">
        <f>HYPERLINK("https://znanium.ru/catalog/product/2133639", "Ознакомиться")</f>
        <v>Ознакомиться</v>
      </c>
      <c r="W1266" s="8" t="s">
        <v>1180</v>
      </c>
      <c r="X1266" s="6"/>
      <c r="Y1266" s="6"/>
      <c r="Z1266" s="6"/>
      <c r="AA1266" s="6" t="s">
        <v>354</v>
      </c>
      <c r="AB1266" s="8"/>
    </row>
    <row r="1267" spans="1:28" s="4" customFormat="1" ht="51.95" customHeight="1">
      <c r="A1267" s="5">
        <v>0</v>
      </c>
      <c r="B1267" s="6" t="s">
        <v>8112</v>
      </c>
      <c r="C1267" s="7">
        <v>1280</v>
      </c>
      <c r="D1267" s="8" t="s">
        <v>8113</v>
      </c>
      <c r="E1267" s="8" t="s">
        <v>8114</v>
      </c>
      <c r="F1267" s="8" t="s">
        <v>430</v>
      </c>
      <c r="G1267" s="6" t="s">
        <v>90</v>
      </c>
      <c r="H1267" s="6" t="s">
        <v>68</v>
      </c>
      <c r="I1267" s="8"/>
      <c r="J1267" s="9">
        <v>1</v>
      </c>
      <c r="K1267" s="9">
        <v>239</v>
      </c>
      <c r="L1267" s="9">
        <v>2025</v>
      </c>
      <c r="M1267" s="8" t="s">
        <v>8115</v>
      </c>
      <c r="N1267" s="8" t="s">
        <v>125</v>
      </c>
      <c r="O1267" s="8" t="s">
        <v>432</v>
      </c>
      <c r="P1267" s="6" t="s">
        <v>58</v>
      </c>
      <c r="Q1267" s="8" t="s">
        <v>45</v>
      </c>
      <c r="R1267" s="10" t="s">
        <v>8116</v>
      </c>
      <c r="S1267" s="11"/>
      <c r="T1267" s="6"/>
      <c r="U1267" s="24" t="str">
        <f>HYPERLINK("https://media.infra-m.ru/2208/2208471/cover/2208471.jpg", "Обложка")</f>
        <v>Обложка</v>
      </c>
      <c r="V1267" s="24" t="str">
        <f>HYPERLINK("https://znanium.ru/catalog/product/2208471", "Ознакомиться")</f>
        <v>Ознакомиться</v>
      </c>
      <c r="W1267" s="8" t="s">
        <v>434</v>
      </c>
      <c r="X1267" s="6"/>
      <c r="Y1267" s="6" t="s">
        <v>30</v>
      </c>
      <c r="Z1267" s="6"/>
      <c r="AA1267" s="6" t="s">
        <v>129</v>
      </c>
      <c r="AB1267" s="8"/>
    </row>
    <row r="1268" spans="1:28" s="4" customFormat="1" ht="42" customHeight="1">
      <c r="A1268" s="5">
        <v>0</v>
      </c>
      <c r="B1268" s="6" t="s">
        <v>8117</v>
      </c>
      <c r="C1268" s="7">
        <v>1660</v>
      </c>
      <c r="D1268" s="8" t="s">
        <v>8118</v>
      </c>
      <c r="E1268" s="8" t="s">
        <v>8119</v>
      </c>
      <c r="F1268" s="8" t="s">
        <v>8120</v>
      </c>
      <c r="G1268" s="6" t="s">
        <v>38</v>
      </c>
      <c r="H1268" s="6" t="s">
        <v>39</v>
      </c>
      <c r="I1268" s="8" t="s">
        <v>40</v>
      </c>
      <c r="J1268" s="9">
        <v>1</v>
      </c>
      <c r="K1268" s="9">
        <v>320</v>
      </c>
      <c r="L1268" s="9">
        <v>2025</v>
      </c>
      <c r="M1268" s="8" t="s">
        <v>8121</v>
      </c>
      <c r="N1268" s="8" t="s">
        <v>125</v>
      </c>
      <c r="O1268" s="8" t="s">
        <v>432</v>
      </c>
      <c r="P1268" s="6" t="s">
        <v>44</v>
      </c>
      <c r="Q1268" s="8" t="s">
        <v>45</v>
      </c>
      <c r="R1268" s="10" t="s">
        <v>1005</v>
      </c>
      <c r="S1268" s="11"/>
      <c r="T1268" s="6"/>
      <c r="U1268" s="24" t="str">
        <f>HYPERLINK("https://media.infra-m.ru/2169/2169677/cover/2169677.jpg", "Обложка")</f>
        <v>Обложка</v>
      </c>
      <c r="V1268" s="24" t="str">
        <f>HYPERLINK("https://znanium.ru/catalog/product/2169677", "Ознакомиться")</f>
        <v>Ознакомиться</v>
      </c>
      <c r="W1268" s="8" t="s">
        <v>386</v>
      </c>
      <c r="X1268" s="6" t="s">
        <v>367</v>
      </c>
      <c r="Y1268" s="6"/>
      <c r="Z1268" s="6" t="s">
        <v>48</v>
      </c>
      <c r="AA1268" s="6" t="s">
        <v>84</v>
      </c>
      <c r="AB1268" s="8"/>
    </row>
    <row r="1269" spans="1:28" s="4" customFormat="1" ht="51.95" customHeight="1">
      <c r="A1269" s="5">
        <v>0</v>
      </c>
      <c r="B1269" s="6" t="s">
        <v>8122</v>
      </c>
      <c r="C1269" s="7">
        <v>2824</v>
      </c>
      <c r="D1269" s="8" t="s">
        <v>8123</v>
      </c>
      <c r="E1269" s="8" t="s">
        <v>8124</v>
      </c>
      <c r="F1269" s="8" t="s">
        <v>8125</v>
      </c>
      <c r="G1269" s="6" t="s">
        <v>90</v>
      </c>
      <c r="H1269" s="6" t="s">
        <v>39</v>
      </c>
      <c r="I1269" s="8" t="s">
        <v>40</v>
      </c>
      <c r="J1269" s="9">
        <v>1</v>
      </c>
      <c r="K1269" s="9">
        <v>544</v>
      </c>
      <c r="L1269" s="9">
        <v>2025</v>
      </c>
      <c r="M1269" s="8" t="s">
        <v>8126</v>
      </c>
      <c r="N1269" s="8" t="s">
        <v>125</v>
      </c>
      <c r="O1269" s="8" t="s">
        <v>432</v>
      </c>
      <c r="P1269" s="6" t="s">
        <v>58</v>
      </c>
      <c r="Q1269" s="8" t="s">
        <v>45</v>
      </c>
      <c r="R1269" s="10" t="s">
        <v>908</v>
      </c>
      <c r="S1269" s="11" t="s">
        <v>8127</v>
      </c>
      <c r="T1269" s="6"/>
      <c r="U1269" s="24" t="str">
        <f>HYPERLINK("https://media.infra-m.ru/2197/2197841/cover/2197841.jpg", "Обложка")</f>
        <v>Обложка</v>
      </c>
      <c r="V1269" s="24" t="str">
        <f>HYPERLINK("https://znanium.ru/catalog/product/1141793", "Ознакомиться")</f>
        <v>Ознакомиться</v>
      </c>
      <c r="W1269" s="8" t="s">
        <v>8128</v>
      </c>
      <c r="X1269" s="6"/>
      <c r="Y1269" s="6"/>
      <c r="Z1269" s="6"/>
      <c r="AA1269" s="6" t="s">
        <v>766</v>
      </c>
      <c r="AB1269" s="8"/>
    </row>
    <row r="1270" spans="1:28" s="4" customFormat="1" ht="51.95" customHeight="1">
      <c r="A1270" s="5">
        <v>0</v>
      </c>
      <c r="B1270" s="6" t="s">
        <v>8129</v>
      </c>
      <c r="C1270" s="13">
        <v>994</v>
      </c>
      <c r="D1270" s="8" t="s">
        <v>8130</v>
      </c>
      <c r="E1270" s="8" t="s">
        <v>8131</v>
      </c>
      <c r="F1270" s="8" t="s">
        <v>8132</v>
      </c>
      <c r="G1270" s="6" t="s">
        <v>90</v>
      </c>
      <c r="H1270" s="6" t="s">
        <v>39</v>
      </c>
      <c r="I1270" s="8" t="s">
        <v>40</v>
      </c>
      <c r="J1270" s="9">
        <v>1</v>
      </c>
      <c r="K1270" s="9">
        <v>200</v>
      </c>
      <c r="L1270" s="9">
        <v>2025</v>
      </c>
      <c r="M1270" s="8" t="s">
        <v>8133</v>
      </c>
      <c r="N1270" s="8" t="s">
        <v>125</v>
      </c>
      <c r="O1270" s="8" t="s">
        <v>432</v>
      </c>
      <c r="P1270" s="6" t="s">
        <v>58</v>
      </c>
      <c r="Q1270" s="8" t="s">
        <v>45</v>
      </c>
      <c r="R1270" s="10" t="s">
        <v>8134</v>
      </c>
      <c r="S1270" s="11" t="s">
        <v>8127</v>
      </c>
      <c r="T1270" s="6"/>
      <c r="U1270" s="24" t="str">
        <f>HYPERLINK("https://media.infra-m.ru/2188/2188151/cover/2188151.jpg", "Обложка")</f>
        <v>Обложка</v>
      </c>
      <c r="V1270" s="24" t="str">
        <f>HYPERLINK("https://znanium.ru/catalog/product/1931475", "Ознакомиться")</f>
        <v>Ознакомиться</v>
      </c>
      <c r="W1270" s="8" t="s">
        <v>8128</v>
      </c>
      <c r="X1270" s="6"/>
      <c r="Y1270" s="6" t="s">
        <v>30</v>
      </c>
      <c r="Z1270" s="6"/>
      <c r="AA1270" s="6" t="s">
        <v>766</v>
      </c>
      <c r="AB1270" s="8"/>
    </row>
    <row r="1271" spans="1:28" s="4" customFormat="1" ht="51.95" customHeight="1">
      <c r="A1271" s="5">
        <v>0</v>
      </c>
      <c r="B1271" s="6" t="s">
        <v>8135</v>
      </c>
      <c r="C1271" s="7">
        <v>1150</v>
      </c>
      <c r="D1271" s="8" t="s">
        <v>8136</v>
      </c>
      <c r="E1271" s="8" t="s">
        <v>8137</v>
      </c>
      <c r="F1271" s="8" t="s">
        <v>8138</v>
      </c>
      <c r="G1271" s="6" t="s">
        <v>90</v>
      </c>
      <c r="H1271" s="6" t="s">
        <v>54</v>
      </c>
      <c r="I1271" s="8" t="s">
        <v>40</v>
      </c>
      <c r="J1271" s="9">
        <v>1</v>
      </c>
      <c r="K1271" s="9">
        <v>221</v>
      </c>
      <c r="L1271" s="9">
        <v>2025</v>
      </c>
      <c r="M1271" s="8" t="s">
        <v>8139</v>
      </c>
      <c r="N1271" s="8" t="s">
        <v>42</v>
      </c>
      <c r="O1271" s="8" t="s">
        <v>169</v>
      </c>
      <c r="P1271" s="6" t="s">
        <v>44</v>
      </c>
      <c r="Q1271" s="8" t="s">
        <v>45</v>
      </c>
      <c r="R1271" s="10" t="s">
        <v>8140</v>
      </c>
      <c r="S1271" s="11" t="s">
        <v>8141</v>
      </c>
      <c r="T1271" s="6"/>
      <c r="U1271" s="24" t="str">
        <f>HYPERLINK("https://media.infra-m.ru/2186/2186417/cover/2186417.jpg", "Обложка")</f>
        <v>Обложка</v>
      </c>
      <c r="V1271" s="24" t="str">
        <f>HYPERLINK("https://znanium.ru/catalog/product/2186417", "Ознакомиться")</f>
        <v>Ознакомиться</v>
      </c>
      <c r="W1271" s="8"/>
      <c r="X1271" s="6"/>
      <c r="Y1271" s="6"/>
      <c r="Z1271" s="6"/>
      <c r="AA1271" s="6" t="s">
        <v>999</v>
      </c>
      <c r="AB1271" s="8" t="s">
        <v>860</v>
      </c>
    </row>
    <row r="1272" spans="1:28" s="4" customFormat="1" ht="51.95" customHeight="1">
      <c r="A1272" s="5">
        <v>0</v>
      </c>
      <c r="B1272" s="6" t="s">
        <v>8142</v>
      </c>
      <c r="C1272" s="13">
        <v>850</v>
      </c>
      <c r="D1272" s="8" t="s">
        <v>8143</v>
      </c>
      <c r="E1272" s="8" t="s">
        <v>8144</v>
      </c>
      <c r="F1272" s="8" t="s">
        <v>8145</v>
      </c>
      <c r="G1272" s="6" t="s">
        <v>90</v>
      </c>
      <c r="H1272" s="6" t="s">
        <v>39</v>
      </c>
      <c r="I1272" s="8" t="s">
        <v>40</v>
      </c>
      <c r="J1272" s="9">
        <v>1</v>
      </c>
      <c r="K1272" s="9">
        <v>180</v>
      </c>
      <c r="L1272" s="9">
        <v>2024</v>
      </c>
      <c r="M1272" s="8" t="s">
        <v>8146</v>
      </c>
      <c r="N1272" s="8" t="s">
        <v>125</v>
      </c>
      <c r="O1272" s="8" t="s">
        <v>432</v>
      </c>
      <c r="P1272" s="6" t="s">
        <v>44</v>
      </c>
      <c r="Q1272" s="8" t="s">
        <v>45</v>
      </c>
      <c r="R1272" s="10" t="s">
        <v>2219</v>
      </c>
      <c r="S1272" s="11" t="s">
        <v>8147</v>
      </c>
      <c r="T1272" s="6"/>
      <c r="U1272" s="24" t="str">
        <f>HYPERLINK("https://media.infra-m.ru/2139/2139211/cover/2139211.jpg", "Обложка")</f>
        <v>Обложка</v>
      </c>
      <c r="V1272" s="24" t="str">
        <f>HYPERLINK("https://znanium.ru/catalog/product/2139211", "Ознакомиться")</f>
        <v>Ознакомиться</v>
      </c>
      <c r="W1272" s="8" t="s">
        <v>47</v>
      </c>
      <c r="X1272" s="6"/>
      <c r="Y1272" s="6"/>
      <c r="Z1272" s="6"/>
      <c r="AA1272" s="6" t="s">
        <v>330</v>
      </c>
      <c r="AB1272" s="8"/>
    </row>
    <row r="1273" spans="1:28" s="4" customFormat="1" ht="51.95" customHeight="1">
      <c r="A1273" s="5">
        <v>0</v>
      </c>
      <c r="B1273" s="6" t="s">
        <v>8148</v>
      </c>
      <c r="C1273" s="13">
        <v>944</v>
      </c>
      <c r="D1273" s="8" t="s">
        <v>8149</v>
      </c>
      <c r="E1273" s="8" t="s">
        <v>8150</v>
      </c>
      <c r="F1273" s="8" t="s">
        <v>430</v>
      </c>
      <c r="G1273" s="6" t="s">
        <v>90</v>
      </c>
      <c r="H1273" s="6" t="s">
        <v>68</v>
      </c>
      <c r="I1273" s="8" t="s">
        <v>69</v>
      </c>
      <c r="J1273" s="9">
        <v>1</v>
      </c>
      <c r="K1273" s="9">
        <v>180</v>
      </c>
      <c r="L1273" s="9">
        <v>2025</v>
      </c>
      <c r="M1273" s="8" t="s">
        <v>8151</v>
      </c>
      <c r="N1273" s="8" t="s">
        <v>125</v>
      </c>
      <c r="O1273" s="8" t="s">
        <v>432</v>
      </c>
      <c r="P1273" s="6" t="s">
        <v>44</v>
      </c>
      <c r="Q1273" s="8" t="s">
        <v>45</v>
      </c>
      <c r="R1273" s="10" t="s">
        <v>8152</v>
      </c>
      <c r="S1273" s="11"/>
      <c r="T1273" s="6"/>
      <c r="U1273" s="24" t="str">
        <f>HYPERLINK("https://media.infra-m.ru/2208/2208470/cover/2208470.jpg", "Обложка")</f>
        <v>Обложка</v>
      </c>
      <c r="V1273" s="24" t="str">
        <f>HYPERLINK("https://znanium.ru/catalog/product/2181281", "Ознакомиться")</f>
        <v>Ознакомиться</v>
      </c>
      <c r="W1273" s="8" t="s">
        <v>434</v>
      </c>
      <c r="X1273" s="6"/>
      <c r="Y1273" s="6" t="s">
        <v>30</v>
      </c>
      <c r="Z1273" s="6"/>
      <c r="AA1273" s="6" t="s">
        <v>740</v>
      </c>
      <c r="AB1273" s="8"/>
    </row>
    <row r="1274" spans="1:28" s="4" customFormat="1" ht="51.95" customHeight="1">
      <c r="A1274" s="5">
        <v>0</v>
      </c>
      <c r="B1274" s="6" t="s">
        <v>8153</v>
      </c>
      <c r="C1274" s="7">
        <v>1784</v>
      </c>
      <c r="D1274" s="8" t="s">
        <v>8154</v>
      </c>
      <c r="E1274" s="8" t="s">
        <v>8155</v>
      </c>
      <c r="F1274" s="8" t="s">
        <v>8156</v>
      </c>
      <c r="G1274" s="6" t="s">
        <v>90</v>
      </c>
      <c r="H1274" s="6" t="s">
        <v>299</v>
      </c>
      <c r="I1274" s="8" t="s">
        <v>40</v>
      </c>
      <c r="J1274" s="9">
        <v>1</v>
      </c>
      <c r="K1274" s="9">
        <v>335</v>
      </c>
      <c r="L1274" s="9">
        <v>2026</v>
      </c>
      <c r="M1274" s="8" t="s">
        <v>8157</v>
      </c>
      <c r="N1274" s="8" t="s">
        <v>125</v>
      </c>
      <c r="O1274" s="8" t="s">
        <v>432</v>
      </c>
      <c r="P1274" s="6" t="s">
        <v>58</v>
      </c>
      <c r="Q1274" s="8" t="s">
        <v>45</v>
      </c>
      <c r="R1274" s="10" t="s">
        <v>8158</v>
      </c>
      <c r="S1274" s="11" t="s">
        <v>8159</v>
      </c>
      <c r="T1274" s="6"/>
      <c r="U1274" s="24" t="str">
        <f>HYPERLINK("https://media.infra-m.ru/2217/2217538/cover/2217538.jpg", "Обложка")</f>
        <v>Обложка</v>
      </c>
      <c r="V1274" s="24" t="str">
        <f>HYPERLINK("https://znanium.ru/catalog/product/2198500", "Ознакомиться")</f>
        <v>Ознакомиться</v>
      </c>
      <c r="W1274" s="8" t="s">
        <v>466</v>
      </c>
      <c r="X1274" s="6"/>
      <c r="Y1274" s="6" t="s">
        <v>30</v>
      </c>
      <c r="Z1274" s="6"/>
      <c r="AA1274" s="6" t="s">
        <v>270</v>
      </c>
      <c r="AB1274" s="8"/>
    </row>
    <row r="1275" spans="1:28" s="4" customFormat="1" ht="51.95" customHeight="1">
      <c r="A1275" s="5">
        <v>0</v>
      </c>
      <c r="B1275" s="6" t="s">
        <v>8160</v>
      </c>
      <c r="C1275" s="7">
        <v>1494</v>
      </c>
      <c r="D1275" s="8" t="s">
        <v>8161</v>
      </c>
      <c r="E1275" s="8" t="s">
        <v>8162</v>
      </c>
      <c r="F1275" s="8" t="s">
        <v>5456</v>
      </c>
      <c r="G1275" s="6" t="s">
        <v>90</v>
      </c>
      <c r="H1275" s="6" t="s">
        <v>299</v>
      </c>
      <c r="I1275" s="8" t="s">
        <v>40</v>
      </c>
      <c r="J1275" s="9">
        <v>1</v>
      </c>
      <c r="K1275" s="9">
        <v>288</v>
      </c>
      <c r="L1275" s="9">
        <v>2026</v>
      </c>
      <c r="M1275" s="8" t="s">
        <v>8163</v>
      </c>
      <c r="N1275" s="8" t="s">
        <v>125</v>
      </c>
      <c r="O1275" s="8" t="s">
        <v>432</v>
      </c>
      <c r="P1275" s="6" t="s">
        <v>58</v>
      </c>
      <c r="Q1275" s="8" t="s">
        <v>45</v>
      </c>
      <c r="R1275" s="10" t="s">
        <v>8164</v>
      </c>
      <c r="S1275" s="11" t="s">
        <v>8165</v>
      </c>
      <c r="T1275" s="6"/>
      <c r="U1275" s="24" t="str">
        <f>HYPERLINK("https://media.infra-m.ru/2224/2224102/cover/2224102.jpg", "Обложка")</f>
        <v>Обложка</v>
      </c>
      <c r="V1275" s="24" t="str">
        <f>HYPERLINK("https://znanium.ru/catalog/product/2186783", "Ознакомиться")</f>
        <v>Ознакомиться</v>
      </c>
      <c r="W1275" s="8" t="s">
        <v>303</v>
      </c>
      <c r="X1275" s="6"/>
      <c r="Y1275" s="6" t="s">
        <v>30</v>
      </c>
      <c r="Z1275" s="6"/>
      <c r="AA1275" s="6" t="s">
        <v>988</v>
      </c>
      <c r="AB1275" s="8"/>
    </row>
    <row r="1276" spans="1:28" s="4" customFormat="1" ht="51.95" customHeight="1">
      <c r="A1276" s="5">
        <v>0</v>
      </c>
      <c r="B1276" s="6" t="s">
        <v>8166</v>
      </c>
      <c r="C1276" s="7">
        <v>1504</v>
      </c>
      <c r="D1276" s="8" t="s">
        <v>8167</v>
      </c>
      <c r="E1276" s="8" t="s">
        <v>8168</v>
      </c>
      <c r="F1276" s="8" t="s">
        <v>8169</v>
      </c>
      <c r="G1276" s="6" t="s">
        <v>90</v>
      </c>
      <c r="H1276" s="6" t="s">
        <v>54</v>
      </c>
      <c r="I1276" s="8" t="s">
        <v>40</v>
      </c>
      <c r="J1276" s="9">
        <v>1</v>
      </c>
      <c r="K1276" s="9">
        <v>300</v>
      </c>
      <c r="L1276" s="9">
        <v>2025</v>
      </c>
      <c r="M1276" s="8" t="s">
        <v>8170</v>
      </c>
      <c r="N1276" s="8" t="s">
        <v>125</v>
      </c>
      <c r="O1276" s="8" t="s">
        <v>432</v>
      </c>
      <c r="P1276" s="6" t="s">
        <v>58</v>
      </c>
      <c r="Q1276" s="8" t="s">
        <v>45</v>
      </c>
      <c r="R1276" s="10" t="s">
        <v>8171</v>
      </c>
      <c r="S1276" s="11" t="s">
        <v>8172</v>
      </c>
      <c r="T1276" s="6"/>
      <c r="U1276" s="24" t="str">
        <f>HYPERLINK("https://media.infra-m.ru/2179/2179461/cover/2179461.jpg", "Обложка")</f>
        <v>Обложка</v>
      </c>
      <c r="V1276" s="24" t="str">
        <f>HYPERLINK("https://znanium.ru/catalog/product/2143883", "Ознакомиться")</f>
        <v>Ознакомиться</v>
      </c>
      <c r="W1276" s="8" t="s">
        <v>3858</v>
      </c>
      <c r="X1276" s="6"/>
      <c r="Y1276" s="6" t="s">
        <v>30</v>
      </c>
      <c r="Z1276" s="6"/>
      <c r="AA1276" s="6" t="s">
        <v>507</v>
      </c>
      <c r="AB1276" s="8"/>
    </row>
    <row r="1277" spans="1:28" s="4" customFormat="1" ht="51.95" customHeight="1">
      <c r="A1277" s="5">
        <v>0</v>
      </c>
      <c r="B1277" s="6" t="s">
        <v>8173</v>
      </c>
      <c r="C1277" s="7">
        <v>1654</v>
      </c>
      <c r="D1277" s="8" t="s">
        <v>8174</v>
      </c>
      <c r="E1277" s="8" t="s">
        <v>8175</v>
      </c>
      <c r="F1277" s="8" t="s">
        <v>8176</v>
      </c>
      <c r="G1277" s="6" t="s">
        <v>90</v>
      </c>
      <c r="H1277" s="6" t="s">
        <v>54</v>
      </c>
      <c r="I1277" s="8" t="s">
        <v>40</v>
      </c>
      <c r="J1277" s="9">
        <v>1</v>
      </c>
      <c r="K1277" s="9">
        <v>318</v>
      </c>
      <c r="L1277" s="9">
        <v>2026</v>
      </c>
      <c r="M1277" s="8" t="s">
        <v>8177</v>
      </c>
      <c r="N1277" s="8" t="s">
        <v>125</v>
      </c>
      <c r="O1277" s="8" t="s">
        <v>432</v>
      </c>
      <c r="P1277" s="6" t="s">
        <v>58</v>
      </c>
      <c r="Q1277" s="8" t="s">
        <v>45</v>
      </c>
      <c r="R1277" s="10" t="s">
        <v>1005</v>
      </c>
      <c r="S1277" s="11" t="s">
        <v>2295</v>
      </c>
      <c r="T1277" s="6"/>
      <c r="U1277" s="24" t="str">
        <f>HYPERLINK("https://media.infra-m.ru/2214/2214965/cover/2214965.jpg", "Обложка")</f>
        <v>Обложка</v>
      </c>
      <c r="V1277" s="24" t="str">
        <f>HYPERLINK("https://znanium.ru/catalog/product/1240097", "Ознакомиться")</f>
        <v>Ознакомиться</v>
      </c>
      <c r="W1277" s="8" t="s">
        <v>1539</v>
      </c>
      <c r="X1277" s="6"/>
      <c r="Y1277" s="6"/>
      <c r="Z1277" s="6" t="s">
        <v>48</v>
      </c>
      <c r="AA1277" s="6" t="s">
        <v>111</v>
      </c>
      <c r="AB1277" s="8"/>
    </row>
    <row r="1278" spans="1:28" s="4" customFormat="1" ht="51.95" customHeight="1">
      <c r="A1278" s="5">
        <v>0</v>
      </c>
      <c r="B1278" s="6" t="s">
        <v>8178</v>
      </c>
      <c r="C1278" s="13">
        <v>754</v>
      </c>
      <c r="D1278" s="8" t="s">
        <v>8179</v>
      </c>
      <c r="E1278" s="8" t="s">
        <v>8180</v>
      </c>
      <c r="F1278" s="8" t="s">
        <v>8181</v>
      </c>
      <c r="G1278" s="6" t="s">
        <v>90</v>
      </c>
      <c r="H1278" s="6" t="s">
        <v>54</v>
      </c>
      <c r="I1278" s="8" t="s">
        <v>40</v>
      </c>
      <c r="J1278" s="9">
        <v>1</v>
      </c>
      <c r="K1278" s="9">
        <v>145</v>
      </c>
      <c r="L1278" s="9">
        <v>2026</v>
      </c>
      <c r="M1278" s="8" t="s">
        <v>8182</v>
      </c>
      <c r="N1278" s="8" t="s">
        <v>125</v>
      </c>
      <c r="O1278" s="8" t="s">
        <v>432</v>
      </c>
      <c r="P1278" s="6" t="s">
        <v>44</v>
      </c>
      <c r="Q1278" s="8" t="s">
        <v>45</v>
      </c>
      <c r="R1278" s="10" t="s">
        <v>8183</v>
      </c>
      <c r="S1278" s="11" t="s">
        <v>8184</v>
      </c>
      <c r="T1278" s="6"/>
      <c r="U1278" s="24" t="str">
        <f>HYPERLINK("https://media.infra-m.ru/2208/2208658/cover/2208658.jpg", "Обложка")</f>
        <v>Обложка</v>
      </c>
      <c r="V1278" s="24" t="str">
        <f>HYPERLINK("https://znanium.ru/catalog/product/2177737", "Ознакомиться")</f>
        <v>Ознакомиться</v>
      </c>
      <c r="W1278" s="8" t="s">
        <v>1310</v>
      </c>
      <c r="X1278" s="6"/>
      <c r="Y1278" s="6" t="s">
        <v>30</v>
      </c>
      <c r="Z1278" s="6" t="s">
        <v>48</v>
      </c>
      <c r="AA1278" s="6" t="s">
        <v>740</v>
      </c>
      <c r="AB1278" s="8"/>
    </row>
    <row r="1279" spans="1:28" s="4" customFormat="1" ht="51.95" customHeight="1">
      <c r="A1279" s="5">
        <v>0</v>
      </c>
      <c r="B1279" s="6" t="s">
        <v>8185</v>
      </c>
      <c r="C1279" s="7">
        <v>1500</v>
      </c>
      <c r="D1279" s="8" t="s">
        <v>8186</v>
      </c>
      <c r="E1279" s="8" t="s">
        <v>8187</v>
      </c>
      <c r="F1279" s="8" t="s">
        <v>8188</v>
      </c>
      <c r="G1279" s="6" t="s">
        <v>90</v>
      </c>
      <c r="H1279" s="6" t="s">
        <v>54</v>
      </c>
      <c r="I1279" s="8" t="s">
        <v>40</v>
      </c>
      <c r="J1279" s="9">
        <v>1</v>
      </c>
      <c r="K1279" s="9">
        <v>288</v>
      </c>
      <c r="L1279" s="9">
        <v>2025</v>
      </c>
      <c r="M1279" s="8" t="s">
        <v>8189</v>
      </c>
      <c r="N1279" s="8" t="s">
        <v>125</v>
      </c>
      <c r="O1279" s="8" t="s">
        <v>432</v>
      </c>
      <c r="P1279" s="6" t="s">
        <v>58</v>
      </c>
      <c r="Q1279" s="8" t="s">
        <v>45</v>
      </c>
      <c r="R1279" s="10" t="s">
        <v>8190</v>
      </c>
      <c r="S1279" s="11" t="s">
        <v>8191</v>
      </c>
      <c r="T1279" s="6"/>
      <c r="U1279" s="24" t="str">
        <f>HYPERLINK("https://media.infra-m.ru/2202/2202497/cover/2202497.jpg", "Обложка")</f>
        <v>Обложка</v>
      </c>
      <c r="V1279" s="24" t="str">
        <f>HYPERLINK("https://znanium.ru/catalog/product/2202497", "Ознакомиться")</f>
        <v>Ознакомиться</v>
      </c>
      <c r="W1279" s="8" t="s">
        <v>293</v>
      </c>
      <c r="X1279" s="6"/>
      <c r="Y1279" s="6"/>
      <c r="Z1279" s="6"/>
      <c r="AA1279" s="6" t="s">
        <v>261</v>
      </c>
      <c r="AB1279" s="8"/>
    </row>
    <row r="1280" spans="1:28" s="4" customFormat="1" ht="51.95" customHeight="1">
      <c r="A1280" s="5">
        <v>0</v>
      </c>
      <c r="B1280" s="6" t="s">
        <v>8192</v>
      </c>
      <c r="C1280" s="7">
        <v>1074</v>
      </c>
      <c r="D1280" s="8" t="s">
        <v>8193</v>
      </c>
      <c r="E1280" s="8" t="s">
        <v>8194</v>
      </c>
      <c r="F1280" s="8" t="s">
        <v>8195</v>
      </c>
      <c r="G1280" s="6" t="s">
        <v>67</v>
      </c>
      <c r="H1280" s="6" t="s">
        <v>39</v>
      </c>
      <c r="I1280" s="8" t="s">
        <v>69</v>
      </c>
      <c r="J1280" s="9">
        <v>1</v>
      </c>
      <c r="K1280" s="9">
        <v>232</v>
      </c>
      <c r="L1280" s="9">
        <v>2024</v>
      </c>
      <c r="M1280" s="8" t="s">
        <v>8196</v>
      </c>
      <c r="N1280" s="8" t="s">
        <v>125</v>
      </c>
      <c r="O1280" s="8" t="s">
        <v>432</v>
      </c>
      <c r="P1280" s="6" t="s">
        <v>44</v>
      </c>
      <c r="Q1280" s="8" t="s">
        <v>45</v>
      </c>
      <c r="R1280" s="10" t="s">
        <v>8197</v>
      </c>
      <c r="S1280" s="11" t="s">
        <v>1391</v>
      </c>
      <c r="T1280" s="6"/>
      <c r="U1280" s="24" t="str">
        <f>HYPERLINK("https://media.infra-m.ru/2040/2040001/cover/2040001.jpg", "Обложка")</f>
        <v>Обложка</v>
      </c>
      <c r="V1280" s="24" t="str">
        <f>HYPERLINK("https://znanium.ru/catalog/product/1287439", "Ознакомиться")</f>
        <v>Ознакомиться</v>
      </c>
      <c r="W1280" s="8" t="s">
        <v>1392</v>
      </c>
      <c r="X1280" s="6"/>
      <c r="Y1280" s="6"/>
      <c r="Z1280" s="6"/>
      <c r="AA1280" s="6" t="s">
        <v>181</v>
      </c>
      <c r="AB1280" s="8"/>
    </row>
    <row r="1281" spans="1:28" s="4" customFormat="1" ht="51.95" customHeight="1">
      <c r="A1281" s="5">
        <v>0</v>
      </c>
      <c r="B1281" s="6" t="s">
        <v>8198</v>
      </c>
      <c r="C1281" s="13">
        <v>950</v>
      </c>
      <c r="D1281" s="8" t="s">
        <v>8199</v>
      </c>
      <c r="E1281" s="8" t="s">
        <v>8200</v>
      </c>
      <c r="F1281" s="8" t="s">
        <v>8201</v>
      </c>
      <c r="G1281" s="6" t="s">
        <v>90</v>
      </c>
      <c r="H1281" s="6" t="s">
        <v>54</v>
      </c>
      <c r="I1281" s="8" t="s">
        <v>40</v>
      </c>
      <c r="J1281" s="9">
        <v>1</v>
      </c>
      <c r="K1281" s="9">
        <v>182</v>
      </c>
      <c r="L1281" s="9">
        <v>2025</v>
      </c>
      <c r="M1281" s="8" t="s">
        <v>8202</v>
      </c>
      <c r="N1281" s="8" t="s">
        <v>125</v>
      </c>
      <c r="O1281" s="8" t="s">
        <v>126</v>
      </c>
      <c r="P1281" s="6" t="s">
        <v>58</v>
      </c>
      <c r="Q1281" s="8" t="s">
        <v>45</v>
      </c>
      <c r="R1281" s="10" t="s">
        <v>848</v>
      </c>
      <c r="S1281" s="11" t="s">
        <v>8203</v>
      </c>
      <c r="T1281" s="6"/>
      <c r="U1281" s="24" t="str">
        <f>HYPERLINK("https://media.infra-m.ru/2196/2196783/cover/2196783.jpg", "Обложка")</f>
        <v>Обложка</v>
      </c>
      <c r="V1281" s="24" t="str">
        <f>HYPERLINK("https://znanium.ru/catalog/product/2196783", "Ознакомиться")</f>
        <v>Ознакомиться</v>
      </c>
      <c r="W1281" s="8" t="s">
        <v>73</v>
      </c>
      <c r="X1281" s="6"/>
      <c r="Y1281" s="6"/>
      <c r="Z1281" s="6" t="s">
        <v>48</v>
      </c>
      <c r="AA1281" s="6" t="s">
        <v>223</v>
      </c>
      <c r="AB1281" s="8"/>
    </row>
    <row r="1282" spans="1:28" s="4" customFormat="1" ht="51.95" customHeight="1">
      <c r="A1282" s="5">
        <v>0</v>
      </c>
      <c r="B1282" s="6" t="s">
        <v>8204</v>
      </c>
      <c r="C1282" s="13">
        <v>890</v>
      </c>
      <c r="D1282" s="8" t="s">
        <v>8205</v>
      </c>
      <c r="E1282" s="8" t="s">
        <v>8206</v>
      </c>
      <c r="F1282" s="8" t="s">
        <v>8207</v>
      </c>
      <c r="G1282" s="6" t="s">
        <v>90</v>
      </c>
      <c r="H1282" s="6" t="s">
        <v>54</v>
      </c>
      <c r="I1282" s="8" t="s">
        <v>40</v>
      </c>
      <c r="J1282" s="9">
        <v>1</v>
      </c>
      <c r="K1282" s="9">
        <v>196</v>
      </c>
      <c r="L1282" s="9">
        <v>2023</v>
      </c>
      <c r="M1282" s="8" t="s">
        <v>8208</v>
      </c>
      <c r="N1282" s="8" t="s">
        <v>125</v>
      </c>
      <c r="O1282" s="8" t="s">
        <v>432</v>
      </c>
      <c r="P1282" s="6" t="s">
        <v>58</v>
      </c>
      <c r="Q1282" s="8" t="s">
        <v>45</v>
      </c>
      <c r="R1282" s="10" t="s">
        <v>464</v>
      </c>
      <c r="S1282" s="11" t="s">
        <v>8209</v>
      </c>
      <c r="T1282" s="6"/>
      <c r="U1282" s="24" t="str">
        <f>HYPERLINK("https://media.infra-m.ru/1911/1911500/cover/1911500.jpg", "Обложка")</f>
        <v>Обложка</v>
      </c>
      <c r="V1282" s="24" t="str">
        <f>HYPERLINK("https://znanium.ru/catalog/product/1911500", "Ознакомиться")</f>
        <v>Ознакомиться</v>
      </c>
      <c r="W1282" s="8" t="s">
        <v>7907</v>
      </c>
      <c r="X1282" s="6"/>
      <c r="Y1282" s="6"/>
      <c r="Z1282" s="6" t="s">
        <v>48</v>
      </c>
      <c r="AA1282" s="6" t="s">
        <v>964</v>
      </c>
      <c r="AB1282" s="8"/>
    </row>
    <row r="1283" spans="1:28" s="4" customFormat="1" ht="51.95" customHeight="1">
      <c r="A1283" s="5">
        <v>0</v>
      </c>
      <c r="B1283" s="6" t="s">
        <v>8210</v>
      </c>
      <c r="C1283" s="13">
        <v>790</v>
      </c>
      <c r="D1283" s="8" t="s">
        <v>8211</v>
      </c>
      <c r="E1283" s="8" t="s">
        <v>8212</v>
      </c>
      <c r="F1283" s="8" t="s">
        <v>8213</v>
      </c>
      <c r="G1283" s="6" t="s">
        <v>67</v>
      </c>
      <c r="H1283" s="6" t="s">
        <v>39</v>
      </c>
      <c r="I1283" s="8" t="s">
        <v>69</v>
      </c>
      <c r="J1283" s="9">
        <v>1</v>
      </c>
      <c r="K1283" s="9">
        <v>176</v>
      </c>
      <c r="L1283" s="9">
        <v>2023</v>
      </c>
      <c r="M1283" s="8" t="s">
        <v>8214</v>
      </c>
      <c r="N1283" s="8" t="s">
        <v>125</v>
      </c>
      <c r="O1283" s="8" t="s">
        <v>432</v>
      </c>
      <c r="P1283" s="6" t="s">
        <v>2158</v>
      </c>
      <c r="Q1283" s="8" t="s">
        <v>45</v>
      </c>
      <c r="R1283" s="10" t="s">
        <v>464</v>
      </c>
      <c r="S1283" s="11" t="s">
        <v>8215</v>
      </c>
      <c r="T1283" s="6"/>
      <c r="U1283" s="24" t="str">
        <f>HYPERLINK("https://media.infra-m.ru/2022/2022259/cover/2022259.jpg", "Обложка")</f>
        <v>Обложка</v>
      </c>
      <c r="V1283" s="24" t="str">
        <f>HYPERLINK("https://znanium.ru/catalog/product/2022259", "Ознакомиться")</f>
        <v>Ознакомиться</v>
      </c>
      <c r="W1283" s="8" t="s">
        <v>5343</v>
      </c>
      <c r="X1283" s="6"/>
      <c r="Y1283" s="6"/>
      <c r="Z1283" s="6"/>
      <c r="AA1283" s="6" t="s">
        <v>8216</v>
      </c>
      <c r="AB1283" s="8"/>
    </row>
    <row r="1284" spans="1:28" s="4" customFormat="1" ht="51.95" customHeight="1">
      <c r="A1284" s="5">
        <v>0</v>
      </c>
      <c r="B1284" s="6" t="s">
        <v>8217</v>
      </c>
      <c r="C1284" s="7">
        <v>1994</v>
      </c>
      <c r="D1284" s="8" t="s">
        <v>8218</v>
      </c>
      <c r="E1284" s="8" t="s">
        <v>8219</v>
      </c>
      <c r="F1284" s="8" t="s">
        <v>8220</v>
      </c>
      <c r="G1284" s="6" t="s">
        <v>90</v>
      </c>
      <c r="H1284" s="6" t="s">
        <v>299</v>
      </c>
      <c r="I1284" s="8" t="s">
        <v>40</v>
      </c>
      <c r="J1284" s="9">
        <v>1</v>
      </c>
      <c r="K1284" s="9">
        <v>399</v>
      </c>
      <c r="L1284" s="9">
        <v>2025</v>
      </c>
      <c r="M1284" s="8" t="s">
        <v>8221</v>
      </c>
      <c r="N1284" s="8" t="s">
        <v>125</v>
      </c>
      <c r="O1284" s="8" t="s">
        <v>432</v>
      </c>
      <c r="P1284" s="6" t="s">
        <v>58</v>
      </c>
      <c r="Q1284" s="8" t="s">
        <v>45</v>
      </c>
      <c r="R1284" s="10" t="s">
        <v>464</v>
      </c>
      <c r="S1284" s="11" t="s">
        <v>8222</v>
      </c>
      <c r="T1284" s="6"/>
      <c r="U1284" s="24" t="str">
        <f>HYPERLINK("https://media.infra-m.ru/2185/2185914/cover/2185914.jpg", "Обложка")</f>
        <v>Обложка</v>
      </c>
      <c r="V1284" s="24" t="str">
        <f>HYPERLINK("https://znanium.ru/catalog/product/1959240", "Ознакомиться")</f>
        <v>Ознакомиться</v>
      </c>
      <c r="W1284" s="8"/>
      <c r="X1284" s="6"/>
      <c r="Y1284" s="6"/>
      <c r="Z1284" s="6"/>
      <c r="AA1284" s="6" t="s">
        <v>237</v>
      </c>
      <c r="AB1284" s="8"/>
    </row>
    <row r="1285" spans="1:28" s="4" customFormat="1" ht="51.95" customHeight="1">
      <c r="A1285" s="5">
        <v>0</v>
      </c>
      <c r="B1285" s="6" t="s">
        <v>8223</v>
      </c>
      <c r="C1285" s="13">
        <v>794</v>
      </c>
      <c r="D1285" s="8" t="s">
        <v>8224</v>
      </c>
      <c r="E1285" s="8" t="s">
        <v>8225</v>
      </c>
      <c r="F1285" s="8" t="s">
        <v>8226</v>
      </c>
      <c r="G1285" s="6" t="s">
        <v>90</v>
      </c>
      <c r="H1285" s="6" t="s">
        <v>54</v>
      </c>
      <c r="I1285" s="8" t="s">
        <v>40</v>
      </c>
      <c r="J1285" s="9">
        <v>1</v>
      </c>
      <c r="K1285" s="9">
        <v>172</v>
      </c>
      <c r="L1285" s="9">
        <v>2024</v>
      </c>
      <c r="M1285" s="8" t="s">
        <v>8227</v>
      </c>
      <c r="N1285" s="8" t="s">
        <v>125</v>
      </c>
      <c r="O1285" s="8" t="s">
        <v>432</v>
      </c>
      <c r="P1285" s="6" t="s">
        <v>44</v>
      </c>
      <c r="Q1285" s="8" t="s">
        <v>45</v>
      </c>
      <c r="R1285" s="10" t="s">
        <v>8228</v>
      </c>
      <c r="S1285" s="11" t="s">
        <v>3903</v>
      </c>
      <c r="T1285" s="6"/>
      <c r="U1285" s="24" t="str">
        <f>HYPERLINK("https://media.infra-m.ru/2100/2100959/cover/2100959.jpg", "Обложка")</f>
        <v>Обложка</v>
      </c>
      <c r="V1285" s="24" t="str">
        <f>HYPERLINK("https://znanium.ru/catalog/product/2080756", "Ознакомиться")</f>
        <v>Ознакомиться</v>
      </c>
      <c r="W1285" s="8" t="s">
        <v>82</v>
      </c>
      <c r="X1285" s="6"/>
      <c r="Y1285" s="6"/>
      <c r="Z1285" s="6" t="s">
        <v>48</v>
      </c>
      <c r="AA1285" s="6" t="s">
        <v>740</v>
      </c>
      <c r="AB1285" s="8"/>
    </row>
    <row r="1286" spans="1:28" s="4" customFormat="1" ht="51.95" customHeight="1">
      <c r="A1286" s="5">
        <v>0</v>
      </c>
      <c r="B1286" s="6" t="s">
        <v>8229</v>
      </c>
      <c r="C1286" s="7">
        <v>1030</v>
      </c>
      <c r="D1286" s="8" t="s">
        <v>8230</v>
      </c>
      <c r="E1286" s="8" t="s">
        <v>8231</v>
      </c>
      <c r="F1286" s="8" t="s">
        <v>522</v>
      </c>
      <c r="G1286" s="6" t="s">
        <v>38</v>
      </c>
      <c r="H1286" s="6" t="s">
        <v>54</v>
      </c>
      <c r="I1286" s="8" t="s">
        <v>79</v>
      </c>
      <c r="J1286" s="9">
        <v>1</v>
      </c>
      <c r="K1286" s="9">
        <v>245</v>
      </c>
      <c r="L1286" s="9">
        <v>2022</v>
      </c>
      <c r="M1286" s="8" t="s">
        <v>8232</v>
      </c>
      <c r="N1286" s="8" t="s">
        <v>125</v>
      </c>
      <c r="O1286" s="8" t="s">
        <v>432</v>
      </c>
      <c r="P1286" s="6" t="s">
        <v>58</v>
      </c>
      <c r="Q1286" s="8" t="s">
        <v>45</v>
      </c>
      <c r="R1286" s="10" t="s">
        <v>8233</v>
      </c>
      <c r="S1286" s="11" t="s">
        <v>8234</v>
      </c>
      <c r="T1286" s="6"/>
      <c r="U1286" s="24" t="str">
        <f>HYPERLINK("https://media.infra-m.ru/1417/1417072/cover/1417072.jpg", "Обложка")</f>
        <v>Обложка</v>
      </c>
      <c r="V1286" s="24" t="str">
        <f>HYPERLINK("https://znanium.ru/catalog/product/1417072", "Ознакомиться")</f>
        <v>Ознакомиться</v>
      </c>
      <c r="W1286" s="8" t="s">
        <v>82</v>
      </c>
      <c r="X1286" s="6"/>
      <c r="Y1286" s="6"/>
      <c r="Z1286" s="6"/>
      <c r="AA1286" s="6" t="s">
        <v>500</v>
      </c>
      <c r="AB1286" s="8"/>
    </row>
    <row r="1287" spans="1:28" s="4" customFormat="1" ht="51.95" customHeight="1">
      <c r="A1287" s="5">
        <v>0</v>
      </c>
      <c r="B1287" s="6" t="s">
        <v>8235</v>
      </c>
      <c r="C1287" s="7">
        <v>1060</v>
      </c>
      <c r="D1287" s="8" t="s">
        <v>8236</v>
      </c>
      <c r="E1287" s="8" t="s">
        <v>8237</v>
      </c>
      <c r="F1287" s="8" t="s">
        <v>8238</v>
      </c>
      <c r="G1287" s="6" t="s">
        <v>90</v>
      </c>
      <c r="H1287" s="6" t="s">
        <v>134</v>
      </c>
      <c r="I1287" s="8" t="s">
        <v>40</v>
      </c>
      <c r="J1287" s="9">
        <v>1</v>
      </c>
      <c r="K1287" s="9">
        <v>204</v>
      </c>
      <c r="L1287" s="9">
        <v>2025</v>
      </c>
      <c r="M1287" s="8" t="s">
        <v>8239</v>
      </c>
      <c r="N1287" s="8" t="s">
        <v>125</v>
      </c>
      <c r="O1287" s="8" t="s">
        <v>126</v>
      </c>
      <c r="P1287" s="6" t="s">
        <v>44</v>
      </c>
      <c r="Q1287" s="8" t="s">
        <v>45</v>
      </c>
      <c r="R1287" s="10" t="s">
        <v>8240</v>
      </c>
      <c r="S1287" s="11" t="s">
        <v>8241</v>
      </c>
      <c r="T1287" s="6"/>
      <c r="U1287" s="24" t="str">
        <f>HYPERLINK("https://media.infra-m.ru/2198/2198344/cover/2198344.jpg", "Обложка")</f>
        <v>Обложка</v>
      </c>
      <c r="V1287" s="24" t="str">
        <f>HYPERLINK("https://znanium.ru/catalog/product/2198344", "Ознакомиться")</f>
        <v>Ознакомиться</v>
      </c>
      <c r="W1287" s="8"/>
      <c r="X1287" s="6"/>
      <c r="Y1287" s="6"/>
      <c r="Z1287" s="6" t="s">
        <v>48</v>
      </c>
      <c r="AA1287" s="6" t="s">
        <v>740</v>
      </c>
      <c r="AB1287" s="8" t="s">
        <v>869</v>
      </c>
    </row>
    <row r="1288" spans="1:28" s="4" customFormat="1" ht="51.95" customHeight="1">
      <c r="A1288" s="5">
        <v>0</v>
      </c>
      <c r="B1288" s="6" t="s">
        <v>8242</v>
      </c>
      <c r="C1288" s="13">
        <v>560</v>
      </c>
      <c r="D1288" s="8" t="s">
        <v>8243</v>
      </c>
      <c r="E1288" s="8" t="s">
        <v>8244</v>
      </c>
      <c r="F1288" s="8" t="s">
        <v>8245</v>
      </c>
      <c r="G1288" s="6" t="s">
        <v>67</v>
      </c>
      <c r="H1288" s="6" t="s">
        <v>39</v>
      </c>
      <c r="I1288" s="8" t="s">
        <v>40</v>
      </c>
      <c r="J1288" s="9">
        <v>1</v>
      </c>
      <c r="K1288" s="9">
        <v>96</v>
      </c>
      <c r="L1288" s="9">
        <v>2025</v>
      </c>
      <c r="M1288" s="8" t="s">
        <v>8246</v>
      </c>
      <c r="N1288" s="8" t="s">
        <v>56</v>
      </c>
      <c r="O1288" s="8" t="s">
        <v>807</v>
      </c>
      <c r="P1288" s="6" t="s">
        <v>44</v>
      </c>
      <c r="Q1288" s="8" t="s">
        <v>45</v>
      </c>
      <c r="R1288" s="10" t="s">
        <v>8247</v>
      </c>
      <c r="S1288" s="11" t="s">
        <v>8248</v>
      </c>
      <c r="T1288" s="6"/>
      <c r="U1288" s="24" t="str">
        <f>HYPERLINK("https://media.infra-m.ru/2217/2217385/cover/2217385.jpg", "Обложка")</f>
        <v>Обложка</v>
      </c>
      <c r="V1288" s="24" t="str">
        <f>HYPERLINK("https://znanium.ru/catalog/product/2217385", "Ознакомиться")</f>
        <v>Ознакомиться</v>
      </c>
      <c r="W1288" s="8" t="s">
        <v>8249</v>
      </c>
      <c r="X1288" s="6"/>
      <c r="Y1288" s="6"/>
      <c r="Z1288" s="6" t="s">
        <v>48</v>
      </c>
      <c r="AA1288" s="6" t="s">
        <v>563</v>
      </c>
      <c r="AB1288" s="8" t="s">
        <v>860</v>
      </c>
    </row>
    <row r="1289" spans="1:28" s="4" customFormat="1" ht="51.95" customHeight="1">
      <c r="A1289" s="5">
        <v>0</v>
      </c>
      <c r="B1289" s="6" t="s">
        <v>8250</v>
      </c>
      <c r="C1289" s="7">
        <v>1204</v>
      </c>
      <c r="D1289" s="8" t="s">
        <v>8251</v>
      </c>
      <c r="E1289" s="8" t="s">
        <v>8252</v>
      </c>
      <c r="F1289" s="8" t="s">
        <v>8253</v>
      </c>
      <c r="G1289" s="6" t="s">
        <v>38</v>
      </c>
      <c r="H1289" s="6" t="s">
        <v>693</v>
      </c>
      <c r="I1289" s="8" t="s">
        <v>694</v>
      </c>
      <c r="J1289" s="9">
        <v>1</v>
      </c>
      <c r="K1289" s="9">
        <v>256</v>
      </c>
      <c r="L1289" s="9">
        <v>2024</v>
      </c>
      <c r="M1289" s="8" t="s">
        <v>8254</v>
      </c>
      <c r="N1289" s="8" t="s">
        <v>125</v>
      </c>
      <c r="O1289" s="8" t="s">
        <v>126</v>
      </c>
      <c r="P1289" s="6" t="s">
        <v>44</v>
      </c>
      <c r="Q1289" s="8" t="s">
        <v>45</v>
      </c>
      <c r="R1289" s="10" t="s">
        <v>8255</v>
      </c>
      <c r="S1289" s="11" t="s">
        <v>8256</v>
      </c>
      <c r="T1289" s="6"/>
      <c r="U1289" s="24" t="str">
        <f>HYPERLINK("https://media.infra-m.ru/2139/2139111/cover/2139111.jpg", "Обложка")</f>
        <v>Обложка</v>
      </c>
      <c r="V1289" s="24" t="str">
        <f>HYPERLINK("https://znanium.ru/catalog/product/1841699", "Ознакомиться")</f>
        <v>Ознакомиться</v>
      </c>
      <c r="W1289" s="8" t="s">
        <v>73</v>
      </c>
      <c r="X1289" s="6"/>
      <c r="Y1289" s="6"/>
      <c r="Z1289" s="6"/>
      <c r="AA1289" s="6" t="s">
        <v>181</v>
      </c>
      <c r="AB1289" s="8"/>
    </row>
    <row r="1290" spans="1:28" s="4" customFormat="1" ht="51.95" customHeight="1">
      <c r="A1290" s="5">
        <v>0</v>
      </c>
      <c r="B1290" s="6" t="s">
        <v>8257</v>
      </c>
      <c r="C1290" s="7">
        <v>1194</v>
      </c>
      <c r="D1290" s="8" t="s">
        <v>8258</v>
      </c>
      <c r="E1290" s="8" t="s">
        <v>8259</v>
      </c>
      <c r="F1290" s="8" t="s">
        <v>8253</v>
      </c>
      <c r="G1290" s="6" t="s">
        <v>38</v>
      </c>
      <c r="H1290" s="6" t="s">
        <v>693</v>
      </c>
      <c r="I1290" s="8"/>
      <c r="J1290" s="9">
        <v>1</v>
      </c>
      <c r="K1290" s="9">
        <v>240</v>
      </c>
      <c r="L1290" s="9">
        <v>2025</v>
      </c>
      <c r="M1290" s="8" t="s">
        <v>8260</v>
      </c>
      <c r="N1290" s="8" t="s">
        <v>125</v>
      </c>
      <c r="O1290" s="8" t="s">
        <v>126</v>
      </c>
      <c r="P1290" s="6" t="s">
        <v>44</v>
      </c>
      <c r="Q1290" s="8" t="s">
        <v>45</v>
      </c>
      <c r="R1290" s="10" t="s">
        <v>8261</v>
      </c>
      <c r="S1290" s="11" t="s">
        <v>8262</v>
      </c>
      <c r="T1290" s="6"/>
      <c r="U1290" s="24" t="str">
        <f>HYPERLINK("https://media.infra-m.ru/2187/2187241/cover/2187241.jpg", "Обложка")</f>
        <v>Обложка</v>
      </c>
      <c r="V1290" s="24" t="str">
        <f>HYPERLINK("https://znanium.ru/catalog/product/2186562", "Ознакомиться")</f>
        <v>Ознакомиться</v>
      </c>
      <c r="W1290" s="8" t="s">
        <v>73</v>
      </c>
      <c r="X1290" s="6"/>
      <c r="Y1290" s="6"/>
      <c r="Z1290" s="6"/>
      <c r="AA1290" s="6" t="s">
        <v>181</v>
      </c>
      <c r="AB1290" s="8"/>
    </row>
    <row r="1291" spans="1:28" s="4" customFormat="1" ht="42" customHeight="1">
      <c r="A1291" s="5">
        <v>0</v>
      </c>
      <c r="B1291" s="6" t="s">
        <v>8263</v>
      </c>
      <c r="C1291" s="7">
        <v>1050</v>
      </c>
      <c r="D1291" s="8" t="s">
        <v>8264</v>
      </c>
      <c r="E1291" s="8" t="s">
        <v>8265</v>
      </c>
      <c r="F1291" s="8" t="s">
        <v>8266</v>
      </c>
      <c r="G1291" s="6" t="s">
        <v>38</v>
      </c>
      <c r="H1291" s="6" t="s">
        <v>54</v>
      </c>
      <c r="I1291" s="8" t="s">
        <v>40</v>
      </c>
      <c r="J1291" s="9">
        <v>1</v>
      </c>
      <c r="K1291" s="9">
        <v>183</v>
      </c>
      <c r="L1291" s="9">
        <v>2025</v>
      </c>
      <c r="M1291" s="8" t="s">
        <v>8267</v>
      </c>
      <c r="N1291" s="8" t="s">
        <v>42</v>
      </c>
      <c r="O1291" s="8" t="s">
        <v>243</v>
      </c>
      <c r="P1291" s="6" t="s">
        <v>44</v>
      </c>
      <c r="Q1291" s="8" t="s">
        <v>45</v>
      </c>
      <c r="R1291" s="10" t="s">
        <v>7186</v>
      </c>
      <c r="S1291" s="11"/>
      <c r="T1291" s="6"/>
      <c r="U1291" s="24" t="str">
        <f>HYPERLINK("https://media.infra-m.ru/2169/2169269/cover/2169269.jpg", "Обложка")</f>
        <v>Обложка</v>
      </c>
      <c r="V1291" s="24" t="str">
        <f>HYPERLINK("https://znanium.ru/catalog/product/2169269", "Ознакомиться")</f>
        <v>Ознакомиться</v>
      </c>
      <c r="W1291" s="8" t="s">
        <v>8268</v>
      </c>
      <c r="X1291" s="6" t="s">
        <v>450</v>
      </c>
      <c r="Y1291" s="6"/>
      <c r="Z1291" s="6"/>
      <c r="AA1291" s="6" t="s">
        <v>84</v>
      </c>
      <c r="AB1291" s="8" t="s">
        <v>801</v>
      </c>
    </row>
    <row r="1292" spans="1:28" s="4" customFormat="1" ht="51.95" customHeight="1">
      <c r="A1292" s="5">
        <v>0</v>
      </c>
      <c r="B1292" s="6" t="s">
        <v>8269</v>
      </c>
      <c r="C1292" s="7">
        <v>1300</v>
      </c>
      <c r="D1292" s="8" t="s">
        <v>8270</v>
      </c>
      <c r="E1292" s="8" t="s">
        <v>8271</v>
      </c>
      <c r="F1292" s="8" t="s">
        <v>8272</v>
      </c>
      <c r="G1292" s="6" t="s">
        <v>90</v>
      </c>
      <c r="H1292" s="6" t="s">
        <v>54</v>
      </c>
      <c r="I1292" s="8" t="s">
        <v>40</v>
      </c>
      <c r="J1292" s="9">
        <v>1</v>
      </c>
      <c r="K1292" s="9">
        <v>237</v>
      </c>
      <c r="L1292" s="9">
        <v>2026</v>
      </c>
      <c r="M1292" s="8" t="s">
        <v>8273</v>
      </c>
      <c r="N1292" s="8" t="s">
        <v>42</v>
      </c>
      <c r="O1292" s="8" t="s">
        <v>187</v>
      </c>
      <c r="P1292" s="6" t="s">
        <v>58</v>
      </c>
      <c r="Q1292" s="8" t="s">
        <v>45</v>
      </c>
      <c r="R1292" s="10" t="s">
        <v>8274</v>
      </c>
      <c r="S1292" s="11" t="s">
        <v>8275</v>
      </c>
      <c r="T1292" s="6"/>
      <c r="U1292" s="24" t="str">
        <f>HYPERLINK("https://media.infra-m.ru/2215/2215383/cover/2215383.jpg", "Обложка")</f>
        <v>Обложка</v>
      </c>
      <c r="V1292" s="24" t="str">
        <f>HYPERLINK("https://znanium.ru/catalog/product/2215383", "Ознакомиться")</f>
        <v>Ознакомиться</v>
      </c>
      <c r="W1292" s="8" t="s">
        <v>190</v>
      </c>
      <c r="X1292" s="6"/>
      <c r="Y1292" s="6"/>
      <c r="Z1292" s="6"/>
      <c r="AA1292" s="6" t="s">
        <v>1526</v>
      </c>
      <c r="AB1292" s="8"/>
    </row>
    <row r="1293" spans="1:28" s="4" customFormat="1" ht="51.95" customHeight="1">
      <c r="A1293" s="5">
        <v>0</v>
      </c>
      <c r="B1293" s="6" t="s">
        <v>8276</v>
      </c>
      <c r="C1293" s="7">
        <v>1794</v>
      </c>
      <c r="D1293" s="8" t="s">
        <v>8277</v>
      </c>
      <c r="E1293" s="8" t="s">
        <v>8278</v>
      </c>
      <c r="F1293" s="8" t="s">
        <v>8279</v>
      </c>
      <c r="G1293" s="6" t="s">
        <v>90</v>
      </c>
      <c r="H1293" s="6" t="s">
        <v>824</v>
      </c>
      <c r="I1293" s="8" t="s">
        <v>40</v>
      </c>
      <c r="J1293" s="9">
        <v>1</v>
      </c>
      <c r="K1293" s="9">
        <v>360</v>
      </c>
      <c r="L1293" s="9">
        <v>2025</v>
      </c>
      <c r="M1293" s="8" t="s">
        <v>8280</v>
      </c>
      <c r="N1293" s="8" t="s">
        <v>42</v>
      </c>
      <c r="O1293" s="8" t="s">
        <v>43</v>
      </c>
      <c r="P1293" s="6" t="s">
        <v>58</v>
      </c>
      <c r="Q1293" s="8" t="s">
        <v>45</v>
      </c>
      <c r="R1293" s="10" t="s">
        <v>8281</v>
      </c>
      <c r="S1293" s="11"/>
      <c r="T1293" s="6"/>
      <c r="U1293" s="24" t="str">
        <f>HYPERLINK("https://media.infra-m.ru/2179/2179453/cover/2179453.jpg", "Обложка")</f>
        <v>Обложка</v>
      </c>
      <c r="V1293" s="24" t="str">
        <f>HYPERLINK("https://znanium.ru/catalog/product/2139063", "Ознакомиться")</f>
        <v>Ознакомиться</v>
      </c>
      <c r="W1293" s="8" t="s">
        <v>1050</v>
      </c>
      <c r="X1293" s="6"/>
      <c r="Y1293" s="6" t="s">
        <v>30</v>
      </c>
      <c r="Z1293" s="6"/>
      <c r="AA1293" s="6" t="s">
        <v>766</v>
      </c>
      <c r="AB1293" s="8"/>
    </row>
    <row r="1294" spans="1:28" s="4" customFormat="1" ht="51.95" customHeight="1">
      <c r="A1294" s="5">
        <v>0</v>
      </c>
      <c r="B1294" s="6" t="s">
        <v>8282</v>
      </c>
      <c r="C1294" s="7">
        <v>1530</v>
      </c>
      <c r="D1294" s="8" t="s">
        <v>8283</v>
      </c>
      <c r="E1294" s="8" t="s">
        <v>8284</v>
      </c>
      <c r="F1294" s="8" t="s">
        <v>8285</v>
      </c>
      <c r="G1294" s="6" t="s">
        <v>90</v>
      </c>
      <c r="H1294" s="6" t="s">
        <v>54</v>
      </c>
      <c r="I1294" s="8" t="s">
        <v>40</v>
      </c>
      <c r="J1294" s="9">
        <v>1</v>
      </c>
      <c r="K1294" s="9">
        <v>288</v>
      </c>
      <c r="L1294" s="9">
        <v>2026</v>
      </c>
      <c r="M1294" s="8" t="s">
        <v>8286</v>
      </c>
      <c r="N1294" s="8" t="s">
        <v>42</v>
      </c>
      <c r="O1294" s="8" t="s">
        <v>169</v>
      </c>
      <c r="P1294" s="6" t="s">
        <v>44</v>
      </c>
      <c r="Q1294" s="8" t="s">
        <v>45</v>
      </c>
      <c r="R1294" s="10" t="s">
        <v>8287</v>
      </c>
      <c r="S1294" s="11" t="s">
        <v>8288</v>
      </c>
      <c r="T1294" s="6"/>
      <c r="U1294" s="24" t="str">
        <f>HYPERLINK("https://media.infra-m.ru/2222/2222668/cover/2222668.jpg", "Обложка")</f>
        <v>Обложка</v>
      </c>
      <c r="V1294" s="24" t="str">
        <f>HYPERLINK("https://znanium.ru/catalog/product/2222668", "Ознакомиться")</f>
        <v>Ознакомиться</v>
      </c>
      <c r="W1294" s="8" t="s">
        <v>3009</v>
      </c>
      <c r="X1294" s="6"/>
      <c r="Y1294" s="6" t="s">
        <v>30</v>
      </c>
      <c r="Z1294" s="6" t="s">
        <v>48</v>
      </c>
      <c r="AA1294" s="6" t="s">
        <v>111</v>
      </c>
      <c r="AB1294" s="8"/>
    </row>
    <row r="1295" spans="1:28" s="4" customFormat="1" ht="51.95" customHeight="1">
      <c r="A1295" s="5">
        <v>0</v>
      </c>
      <c r="B1295" s="6" t="s">
        <v>8289</v>
      </c>
      <c r="C1295" s="13">
        <v>950</v>
      </c>
      <c r="D1295" s="8" t="s">
        <v>8290</v>
      </c>
      <c r="E1295" s="8" t="s">
        <v>8291</v>
      </c>
      <c r="F1295" s="8" t="s">
        <v>8292</v>
      </c>
      <c r="G1295" s="6" t="s">
        <v>67</v>
      </c>
      <c r="H1295" s="6" t="s">
        <v>39</v>
      </c>
      <c r="I1295" s="8" t="s">
        <v>40</v>
      </c>
      <c r="J1295" s="9">
        <v>1</v>
      </c>
      <c r="K1295" s="9">
        <v>176</v>
      </c>
      <c r="L1295" s="9">
        <v>2025</v>
      </c>
      <c r="M1295" s="8" t="s">
        <v>8293</v>
      </c>
      <c r="N1295" s="8" t="s">
        <v>42</v>
      </c>
      <c r="O1295" s="8" t="s">
        <v>319</v>
      </c>
      <c r="P1295" s="6" t="s">
        <v>44</v>
      </c>
      <c r="Q1295" s="8" t="s">
        <v>45</v>
      </c>
      <c r="R1295" s="10" t="s">
        <v>8294</v>
      </c>
      <c r="S1295" s="11" t="s">
        <v>8295</v>
      </c>
      <c r="T1295" s="6"/>
      <c r="U1295" s="24" t="str">
        <f>HYPERLINK("https://media.infra-m.ru/2205/2205671/cover/2205671.jpg", "Обложка")</f>
        <v>Обложка</v>
      </c>
      <c r="V1295" s="24" t="str">
        <f>HYPERLINK("https://znanium.ru/catalog/product/2205671", "Ознакомиться")</f>
        <v>Ознакомиться</v>
      </c>
      <c r="W1295" s="8" t="s">
        <v>3009</v>
      </c>
      <c r="X1295" s="6"/>
      <c r="Y1295" s="6"/>
      <c r="Z1295" s="6" t="s">
        <v>48</v>
      </c>
      <c r="AA1295" s="6" t="s">
        <v>111</v>
      </c>
      <c r="AB1295" s="8"/>
    </row>
    <row r="1296" spans="1:28" s="4" customFormat="1" ht="51.95" customHeight="1">
      <c r="A1296" s="5">
        <v>0</v>
      </c>
      <c r="B1296" s="6" t="s">
        <v>8296</v>
      </c>
      <c r="C1296" s="7">
        <v>1090</v>
      </c>
      <c r="D1296" s="8" t="s">
        <v>8297</v>
      </c>
      <c r="E1296" s="8" t="s">
        <v>8298</v>
      </c>
      <c r="F1296" s="8" t="s">
        <v>8299</v>
      </c>
      <c r="G1296" s="6" t="s">
        <v>90</v>
      </c>
      <c r="H1296" s="6" t="s">
        <v>54</v>
      </c>
      <c r="I1296" s="8" t="s">
        <v>40</v>
      </c>
      <c r="J1296" s="9">
        <v>1</v>
      </c>
      <c r="K1296" s="9">
        <v>203</v>
      </c>
      <c r="L1296" s="9">
        <v>2026</v>
      </c>
      <c r="M1296" s="8" t="s">
        <v>8300</v>
      </c>
      <c r="N1296" s="8" t="s">
        <v>42</v>
      </c>
      <c r="O1296" s="8" t="s">
        <v>169</v>
      </c>
      <c r="P1296" s="6" t="s">
        <v>44</v>
      </c>
      <c r="Q1296" s="8" t="s">
        <v>45</v>
      </c>
      <c r="R1296" s="10" t="s">
        <v>8301</v>
      </c>
      <c r="S1296" s="11" t="s">
        <v>8302</v>
      </c>
      <c r="T1296" s="6"/>
      <c r="U1296" s="24" t="str">
        <f>HYPERLINK("https://media.infra-m.ru/2216/2216273/cover/2216273.jpg", "Обложка")</f>
        <v>Обложка</v>
      </c>
      <c r="V1296" s="24" t="str">
        <f>HYPERLINK("https://znanium.ru/catalog/product/2216273", "Ознакомиться")</f>
        <v>Ознакомиться</v>
      </c>
      <c r="W1296" s="8" t="s">
        <v>8303</v>
      </c>
      <c r="X1296" s="6"/>
      <c r="Y1296" s="6"/>
      <c r="Z1296" s="6" t="s">
        <v>207</v>
      </c>
      <c r="AA1296" s="6" t="s">
        <v>223</v>
      </c>
      <c r="AB1296" s="8"/>
    </row>
    <row r="1297" spans="1:28" s="4" customFormat="1" ht="51.95" customHeight="1">
      <c r="A1297" s="5">
        <v>0</v>
      </c>
      <c r="B1297" s="6" t="s">
        <v>8304</v>
      </c>
      <c r="C1297" s="7">
        <v>1860</v>
      </c>
      <c r="D1297" s="8" t="s">
        <v>8305</v>
      </c>
      <c r="E1297" s="8" t="s">
        <v>8306</v>
      </c>
      <c r="F1297" s="8" t="s">
        <v>8307</v>
      </c>
      <c r="G1297" s="6" t="s">
        <v>90</v>
      </c>
      <c r="H1297" s="6" t="s">
        <v>54</v>
      </c>
      <c r="I1297" s="8" t="s">
        <v>40</v>
      </c>
      <c r="J1297" s="9">
        <v>1</v>
      </c>
      <c r="K1297" s="9">
        <v>356</v>
      </c>
      <c r="L1297" s="9">
        <v>2026</v>
      </c>
      <c r="M1297" s="8" t="s">
        <v>8308</v>
      </c>
      <c r="N1297" s="8" t="s">
        <v>42</v>
      </c>
      <c r="O1297" s="8" t="s">
        <v>169</v>
      </c>
      <c r="P1297" s="6" t="s">
        <v>44</v>
      </c>
      <c r="Q1297" s="8" t="s">
        <v>45</v>
      </c>
      <c r="R1297" s="10" t="s">
        <v>8309</v>
      </c>
      <c r="S1297" s="11" t="s">
        <v>8310</v>
      </c>
      <c r="T1297" s="6"/>
      <c r="U1297" s="24" t="str">
        <f>HYPERLINK("https://media.infra-m.ru/2213/2213307/cover/2213307.jpg", "Обложка")</f>
        <v>Обложка</v>
      </c>
      <c r="V1297" s="24" t="str">
        <f>HYPERLINK("https://znanium.ru/catalog/product/2213307", "Ознакомиться")</f>
        <v>Ознакомиться</v>
      </c>
      <c r="W1297" s="8" t="s">
        <v>2695</v>
      </c>
      <c r="X1297" s="6"/>
      <c r="Y1297" s="6" t="s">
        <v>30</v>
      </c>
      <c r="Z1297" s="6" t="s">
        <v>48</v>
      </c>
      <c r="AA1297" s="6" t="s">
        <v>740</v>
      </c>
      <c r="AB1297" s="8"/>
    </row>
    <row r="1298" spans="1:28" s="4" customFormat="1" ht="51.95" customHeight="1">
      <c r="A1298" s="5">
        <v>0</v>
      </c>
      <c r="B1298" s="6" t="s">
        <v>8311</v>
      </c>
      <c r="C1298" s="7">
        <v>1620</v>
      </c>
      <c r="D1298" s="8" t="s">
        <v>8312</v>
      </c>
      <c r="E1298" s="8" t="s">
        <v>8313</v>
      </c>
      <c r="F1298" s="8" t="s">
        <v>8314</v>
      </c>
      <c r="G1298" s="6" t="s">
        <v>90</v>
      </c>
      <c r="H1298" s="6" t="s">
        <v>54</v>
      </c>
      <c r="I1298" s="8" t="s">
        <v>40</v>
      </c>
      <c r="J1298" s="9">
        <v>1</v>
      </c>
      <c r="K1298" s="9">
        <v>295</v>
      </c>
      <c r="L1298" s="9">
        <v>2026</v>
      </c>
      <c r="M1298" s="8" t="s">
        <v>8315</v>
      </c>
      <c r="N1298" s="8" t="s">
        <v>42</v>
      </c>
      <c r="O1298" s="8" t="s">
        <v>187</v>
      </c>
      <c r="P1298" s="6" t="s">
        <v>58</v>
      </c>
      <c r="Q1298" s="8" t="s">
        <v>45</v>
      </c>
      <c r="R1298" s="10" t="s">
        <v>8316</v>
      </c>
      <c r="S1298" s="11" t="s">
        <v>8317</v>
      </c>
      <c r="T1298" s="6"/>
      <c r="U1298" s="24" t="str">
        <f>HYPERLINK("https://media.infra-m.ru/2216/2216006/cover/2216006.jpg", "Обложка")</f>
        <v>Обложка</v>
      </c>
      <c r="V1298" s="24" t="str">
        <f>HYPERLINK("https://znanium.ru/catalog/product/2216006", "Ознакомиться")</f>
        <v>Ознакомиться</v>
      </c>
      <c r="W1298" s="8" t="s">
        <v>4459</v>
      </c>
      <c r="X1298" s="6"/>
      <c r="Y1298" s="6" t="s">
        <v>30</v>
      </c>
      <c r="Z1298" s="6"/>
      <c r="AA1298" s="6" t="s">
        <v>223</v>
      </c>
      <c r="AB1298" s="8"/>
    </row>
    <row r="1299" spans="1:28" s="4" customFormat="1" ht="51.95" customHeight="1">
      <c r="A1299" s="5">
        <v>0</v>
      </c>
      <c r="B1299" s="6" t="s">
        <v>8318</v>
      </c>
      <c r="C1299" s="7">
        <v>1390</v>
      </c>
      <c r="D1299" s="8" t="s">
        <v>8319</v>
      </c>
      <c r="E1299" s="8" t="s">
        <v>8320</v>
      </c>
      <c r="F1299" s="8" t="s">
        <v>8321</v>
      </c>
      <c r="G1299" s="6" t="s">
        <v>90</v>
      </c>
      <c r="H1299" s="6" t="s">
        <v>54</v>
      </c>
      <c r="I1299" s="8" t="s">
        <v>40</v>
      </c>
      <c r="J1299" s="9">
        <v>1</v>
      </c>
      <c r="K1299" s="9">
        <v>278</v>
      </c>
      <c r="L1299" s="9">
        <v>2025</v>
      </c>
      <c r="M1299" s="8" t="s">
        <v>8322</v>
      </c>
      <c r="N1299" s="8" t="s">
        <v>42</v>
      </c>
      <c r="O1299" s="8" t="s">
        <v>243</v>
      </c>
      <c r="P1299" s="6" t="s">
        <v>44</v>
      </c>
      <c r="Q1299" s="8" t="s">
        <v>45</v>
      </c>
      <c r="R1299" s="10" t="s">
        <v>8323</v>
      </c>
      <c r="S1299" s="11" t="s">
        <v>8324</v>
      </c>
      <c r="T1299" s="6" t="s">
        <v>118</v>
      </c>
      <c r="U1299" s="24" t="str">
        <f>HYPERLINK("https://media.infra-m.ru/2171/2171474/cover/2171474.jpg", "Обложка")</f>
        <v>Обложка</v>
      </c>
      <c r="V1299" s="24" t="str">
        <f>HYPERLINK("https://znanium.ru/catalog/product/2171474", "Ознакомиться")</f>
        <v>Ознакомиться</v>
      </c>
      <c r="W1299" s="8" t="s">
        <v>8325</v>
      </c>
      <c r="X1299" s="6"/>
      <c r="Y1299" s="6"/>
      <c r="Z1299" s="6"/>
      <c r="AA1299" s="6" t="s">
        <v>443</v>
      </c>
      <c r="AB1299" s="8" t="s">
        <v>869</v>
      </c>
    </row>
    <row r="1300" spans="1:28" s="4" customFormat="1" ht="51.95" customHeight="1">
      <c r="A1300" s="5">
        <v>0</v>
      </c>
      <c r="B1300" s="6" t="s">
        <v>8326</v>
      </c>
      <c r="C1300" s="7">
        <v>1977</v>
      </c>
      <c r="D1300" s="8" t="s">
        <v>8327</v>
      </c>
      <c r="E1300" s="8" t="s">
        <v>8328</v>
      </c>
      <c r="F1300" s="8" t="s">
        <v>8329</v>
      </c>
      <c r="G1300" s="6" t="s">
        <v>90</v>
      </c>
      <c r="H1300" s="6" t="s">
        <v>39</v>
      </c>
      <c r="I1300" s="8" t="s">
        <v>40</v>
      </c>
      <c r="J1300" s="9">
        <v>1</v>
      </c>
      <c r="K1300" s="9">
        <v>303</v>
      </c>
      <c r="L1300" s="9">
        <v>2025</v>
      </c>
      <c r="M1300" s="8" t="s">
        <v>8330</v>
      </c>
      <c r="N1300" s="8" t="s">
        <v>42</v>
      </c>
      <c r="O1300" s="8" t="s">
        <v>169</v>
      </c>
      <c r="P1300" s="6" t="s">
        <v>44</v>
      </c>
      <c r="Q1300" s="8" t="s">
        <v>45</v>
      </c>
      <c r="R1300" s="10" t="s">
        <v>783</v>
      </c>
      <c r="S1300" s="11" t="s">
        <v>8331</v>
      </c>
      <c r="T1300" s="6"/>
      <c r="U1300" s="24" t="str">
        <f>HYPERLINK("https://media.infra-m.ru/2180/2180434/cover/2180434.jpg", "Обложка")</f>
        <v>Обложка</v>
      </c>
      <c r="V1300" s="24" t="str">
        <f>HYPERLINK("https://znanium.ru/catalog/product/2179489", "Ознакомиться")</f>
        <v>Ознакомиться</v>
      </c>
      <c r="W1300" s="8" t="s">
        <v>3618</v>
      </c>
      <c r="X1300" s="6"/>
      <c r="Y1300" s="6"/>
      <c r="Z1300" s="6" t="s">
        <v>48</v>
      </c>
      <c r="AA1300" s="6" t="s">
        <v>129</v>
      </c>
      <c r="AB1300" s="8"/>
    </row>
    <row r="1301" spans="1:28" s="4" customFormat="1" ht="51.95" customHeight="1">
      <c r="A1301" s="5">
        <v>0</v>
      </c>
      <c r="B1301" s="6" t="s">
        <v>8332</v>
      </c>
      <c r="C1301" s="7">
        <v>1034</v>
      </c>
      <c r="D1301" s="8" t="s">
        <v>8333</v>
      </c>
      <c r="E1301" s="8" t="s">
        <v>8334</v>
      </c>
      <c r="F1301" s="8" t="s">
        <v>8335</v>
      </c>
      <c r="G1301" s="6" t="s">
        <v>67</v>
      </c>
      <c r="H1301" s="6" t="s">
        <v>39</v>
      </c>
      <c r="I1301" s="8" t="s">
        <v>40</v>
      </c>
      <c r="J1301" s="9">
        <v>1</v>
      </c>
      <c r="K1301" s="9">
        <v>224</v>
      </c>
      <c r="L1301" s="9">
        <v>2024</v>
      </c>
      <c r="M1301" s="8" t="s">
        <v>8336</v>
      </c>
      <c r="N1301" s="8" t="s">
        <v>42</v>
      </c>
      <c r="O1301" s="8" t="s">
        <v>169</v>
      </c>
      <c r="P1301" s="6" t="s">
        <v>44</v>
      </c>
      <c r="Q1301" s="8" t="s">
        <v>45</v>
      </c>
      <c r="R1301" s="10" t="s">
        <v>8337</v>
      </c>
      <c r="S1301" s="11" t="s">
        <v>8338</v>
      </c>
      <c r="T1301" s="6"/>
      <c r="U1301" s="24" t="str">
        <f>HYPERLINK("https://media.infra-m.ru/1913/1913644/cover/1913644.jpg", "Обложка")</f>
        <v>Обложка</v>
      </c>
      <c r="V1301" s="24" t="str">
        <f>HYPERLINK("https://znanium.ru/catalog/product/1209815", "Ознакомиться")</f>
        <v>Ознакомиться</v>
      </c>
      <c r="W1301" s="8" t="s">
        <v>593</v>
      </c>
      <c r="X1301" s="6"/>
      <c r="Y1301" s="6"/>
      <c r="Z1301" s="6" t="s">
        <v>48</v>
      </c>
      <c r="AA1301" s="6" t="s">
        <v>740</v>
      </c>
      <c r="AB1301" s="8"/>
    </row>
    <row r="1302" spans="1:28" s="4" customFormat="1" ht="51.95" customHeight="1">
      <c r="A1302" s="5">
        <v>0</v>
      </c>
      <c r="B1302" s="6" t="s">
        <v>8339</v>
      </c>
      <c r="C1302" s="13">
        <v>610</v>
      </c>
      <c r="D1302" s="8" t="s">
        <v>8340</v>
      </c>
      <c r="E1302" s="8" t="s">
        <v>8341</v>
      </c>
      <c r="F1302" s="8" t="s">
        <v>8342</v>
      </c>
      <c r="G1302" s="6" t="s">
        <v>67</v>
      </c>
      <c r="H1302" s="6" t="s">
        <v>68</v>
      </c>
      <c r="I1302" s="8" t="s">
        <v>69</v>
      </c>
      <c r="J1302" s="9">
        <v>1</v>
      </c>
      <c r="K1302" s="9">
        <v>96</v>
      </c>
      <c r="L1302" s="9">
        <v>2025</v>
      </c>
      <c r="M1302" s="8" t="s">
        <v>8343</v>
      </c>
      <c r="N1302" s="8" t="s">
        <v>42</v>
      </c>
      <c r="O1302" s="8" t="s">
        <v>169</v>
      </c>
      <c r="P1302" s="6" t="s">
        <v>44</v>
      </c>
      <c r="Q1302" s="8" t="s">
        <v>45</v>
      </c>
      <c r="R1302" s="10" t="s">
        <v>8344</v>
      </c>
      <c r="S1302" s="11" t="s">
        <v>8345</v>
      </c>
      <c r="T1302" s="6"/>
      <c r="U1302" s="24" t="str">
        <f>HYPERLINK("https://media.infra-m.ru/2210/2210907/cover/2210907.jpg", "Обложка")</f>
        <v>Обложка</v>
      </c>
      <c r="V1302" s="24" t="str">
        <f>HYPERLINK("https://znanium.ru/catalog/product/2210907", "Ознакомиться")</f>
        <v>Ознакомиться</v>
      </c>
      <c r="W1302" s="8" t="s">
        <v>8346</v>
      </c>
      <c r="X1302" s="6"/>
      <c r="Y1302" s="6"/>
      <c r="Z1302" s="6"/>
      <c r="AA1302" s="6" t="s">
        <v>147</v>
      </c>
      <c r="AB1302" s="8"/>
    </row>
    <row r="1303" spans="1:28" s="4" customFormat="1" ht="51.95" customHeight="1">
      <c r="A1303" s="5">
        <v>0</v>
      </c>
      <c r="B1303" s="6" t="s">
        <v>8347</v>
      </c>
      <c r="C1303" s="7">
        <v>2410</v>
      </c>
      <c r="D1303" s="8" t="s">
        <v>8348</v>
      </c>
      <c r="E1303" s="8" t="s">
        <v>8349</v>
      </c>
      <c r="F1303" s="8" t="s">
        <v>8350</v>
      </c>
      <c r="G1303" s="6" t="s">
        <v>38</v>
      </c>
      <c r="H1303" s="6" t="s">
        <v>54</v>
      </c>
      <c r="I1303" s="8" t="s">
        <v>1997</v>
      </c>
      <c r="J1303" s="9">
        <v>1</v>
      </c>
      <c r="K1303" s="9">
        <v>462</v>
      </c>
      <c r="L1303" s="9">
        <v>2025</v>
      </c>
      <c r="M1303" s="8" t="s">
        <v>8351</v>
      </c>
      <c r="N1303" s="8" t="s">
        <v>42</v>
      </c>
      <c r="O1303" s="8" t="s">
        <v>169</v>
      </c>
      <c r="P1303" s="6" t="s">
        <v>44</v>
      </c>
      <c r="Q1303" s="8" t="s">
        <v>45</v>
      </c>
      <c r="R1303" s="10" t="s">
        <v>8352</v>
      </c>
      <c r="S1303" s="11" t="s">
        <v>8353</v>
      </c>
      <c r="T1303" s="6"/>
      <c r="U1303" s="24" t="str">
        <f>HYPERLINK("https://media.infra-m.ru/2203/2203203/cover/2203203.jpg", "Обложка")</f>
        <v>Обложка</v>
      </c>
      <c r="V1303" s="12"/>
      <c r="W1303" s="8" t="s">
        <v>2000</v>
      </c>
      <c r="X1303" s="6"/>
      <c r="Y1303" s="6"/>
      <c r="Z1303" s="6" t="s">
        <v>48</v>
      </c>
      <c r="AA1303" s="6" t="s">
        <v>111</v>
      </c>
      <c r="AB1303" s="8"/>
    </row>
    <row r="1304" spans="1:28" s="4" customFormat="1" ht="51.95" customHeight="1">
      <c r="A1304" s="5">
        <v>0</v>
      </c>
      <c r="B1304" s="6" t="s">
        <v>8354</v>
      </c>
      <c r="C1304" s="7">
        <v>1890</v>
      </c>
      <c r="D1304" s="8" t="s">
        <v>8355</v>
      </c>
      <c r="E1304" s="8" t="s">
        <v>8356</v>
      </c>
      <c r="F1304" s="8" t="s">
        <v>6596</v>
      </c>
      <c r="G1304" s="6" t="s">
        <v>90</v>
      </c>
      <c r="H1304" s="6" t="s">
        <v>54</v>
      </c>
      <c r="I1304" s="8" t="s">
        <v>40</v>
      </c>
      <c r="J1304" s="9">
        <v>1</v>
      </c>
      <c r="K1304" s="9">
        <v>364</v>
      </c>
      <c r="L1304" s="9">
        <v>2025</v>
      </c>
      <c r="M1304" s="8" t="s">
        <v>8357</v>
      </c>
      <c r="N1304" s="8" t="s">
        <v>42</v>
      </c>
      <c r="O1304" s="8" t="s">
        <v>169</v>
      </c>
      <c r="P1304" s="6" t="s">
        <v>58</v>
      </c>
      <c r="Q1304" s="8" t="s">
        <v>45</v>
      </c>
      <c r="R1304" s="10" t="s">
        <v>8358</v>
      </c>
      <c r="S1304" s="11" t="s">
        <v>8359</v>
      </c>
      <c r="T1304" s="6"/>
      <c r="U1304" s="24" t="str">
        <f>HYPERLINK("https://media.infra-m.ru/2205/2205473/cover/2205473.jpg", "Обложка")</f>
        <v>Обложка</v>
      </c>
      <c r="V1304" s="24" t="str">
        <f>HYPERLINK("https://znanium.ru/catalog/product/2205473", "Ознакомиться")</f>
        <v>Ознакомиться</v>
      </c>
      <c r="W1304" s="8" t="s">
        <v>6600</v>
      </c>
      <c r="X1304" s="6"/>
      <c r="Y1304" s="6" t="s">
        <v>30</v>
      </c>
      <c r="Z1304" s="6" t="s">
        <v>48</v>
      </c>
      <c r="AA1304" s="6" t="s">
        <v>111</v>
      </c>
      <c r="AB1304" s="8"/>
    </row>
    <row r="1305" spans="1:28" s="4" customFormat="1" ht="51.95" customHeight="1">
      <c r="A1305" s="5">
        <v>0</v>
      </c>
      <c r="B1305" s="6" t="s">
        <v>8360</v>
      </c>
      <c r="C1305" s="7">
        <v>1174</v>
      </c>
      <c r="D1305" s="8" t="s">
        <v>8361</v>
      </c>
      <c r="E1305" s="8" t="s">
        <v>8356</v>
      </c>
      <c r="F1305" s="8" t="s">
        <v>1170</v>
      </c>
      <c r="G1305" s="6" t="s">
        <v>90</v>
      </c>
      <c r="H1305" s="6" t="s">
        <v>39</v>
      </c>
      <c r="I1305" s="8" t="s">
        <v>40</v>
      </c>
      <c r="J1305" s="9">
        <v>1</v>
      </c>
      <c r="K1305" s="9">
        <v>224</v>
      </c>
      <c r="L1305" s="9">
        <v>2025</v>
      </c>
      <c r="M1305" s="8" t="s">
        <v>8362</v>
      </c>
      <c r="N1305" s="8" t="s">
        <v>42</v>
      </c>
      <c r="O1305" s="8" t="s">
        <v>243</v>
      </c>
      <c r="P1305" s="6" t="s">
        <v>58</v>
      </c>
      <c r="Q1305" s="8" t="s">
        <v>45</v>
      </c>
      <c r="R1305" s="10" t="s">
        <v>426</v>
      </c>
      <c r="S1305" s="11" t="s">
        <v>8363</v>
      </c>
      <c r="T1305" s="6"/>
      <c r="U1305" s="24" t="str">
        <f>HYPERLINK("https://media.infra-m.ru/2208/2208980/cover/2208980.jpg", "Обложка")</f>
        <v>Обложка</v>
      </c>
      <c r="V1305" s="24" t="str">
        <f>HYPERLINK("https://znanium.ru/catalog/product/1872732", "Ознакомиться")</f>
        <v>Ознакомиться</v>
      </c>
      <c r="W1305" s="8" t="s">
        <v>172</v>
      </c>
      <c r="X1305" s="6"/>
      <c r="Y1305" s="6"/>
      <c r="Z1305" s="6" t="s">
        <v>48</v>
      </c>
      <c r="AA1305" s="6" t="s">
        <v>111</v>
      </c>
      <c r="AB1305" s="8"/>
    </row>
    <row r="1306" spans="1:28" s="4" customFormat="1" ht="51.95" customHeight="1">
      <c r="A1306" s="5">
        <v>0</v>
      </c>
      <c r="B1306" s="6" t="s">
        <v>8364</v>
      </c>
      <c r="C1306" s="7">
        <v>2727</v>
      </c>
      <c r="D1306" s="8" t="s">
        <v>8365</v>
      </c>
      <c r="E1306" s="8" t="s">
        <v>8366</v>
      </c>
      <c r="F1306" s="8" t="s">
        <v>6259</v>
      </c>
      <c r="G1306" s="6" t="s">
        <v>38</v>
      </c>
      <c r="H1306" s="6" t="s">
        <v>54</v>
      </c>
      <c r="I1306" s="8" t="s">
        <v>40</v>
      </c>
      <c r="J1306" s="9">
        <v>1</v>
      </c>
      <c r="K1306" s="9">
        <v>407</v>
      </c>
      <c r="L1306" s="9">
        <v>2026</v>
      </c>
      <c r="M1306" s="8" t="s">
        <v>8367</v>
      </c>
      <c r="N1306" s="8" t="s">
        <v>42</v>
      </c>
      <c r="O1306" s="8" t="s">
        <v>169</v>
      </c>
      <c r="P1306" s="6" t="s">
        <v>58</v>
      </c>
      <c r="Q1306" s="8" t="s">
        <v>45</v>
      </c>
      <c r="R1306" s="10" t="s">
        <v>8368</v>
      </c>
      <c r="S1306" s="11" t="s">
        <v>8369</v>
      </c>
      <c r="T1306" s="6"/>
      <c r="U1306" s="24" t="str">
        <f>HYPERLINK("https://media.infra-m.ru/2216/2216902/cover/2216902.jpg", "Обложка")</f>
        <v>Обложка</v>
      </c>
      <c r="V1306" s="24" t="str">
        <f>HYPERLINK("https://znanium.ru/catalog/product/2212455", "Ознакомиться")</f>
        <v>Ознакомиться</v>
      </c>
      <c r="W1306" s="8" t="s">
        <v>792</v>
      </c>
      <c r="X1306" s="6"/>
      <c r="Y1306" s="6"/>
      <c r="Z1306" s="6"/>
      <c r="AA1306" s="6" t="s">
        <v>1518</v>
      </c>
      <c r="AB1306" s="8"/>
    </row>
    <row r="1307" spans="1:28" s="4" customFormat="1" ht="51.95" customHeight="1">
      <c r="A1307" s="5">
        <v>0</v>
      </c>
      <c r="B1307" s="6" t="s">
        <v>8370</v>
      </c>
      <c r="C1307" s="13">
        <v>370</v>
      </c>
      <c r="D1307" s="8" t="s">
        <v>8371</v>
      </c>
      <c r="E1307" s="8" t="s">
        <v>8372</v>
      </c>
      <c r="F1307" s="8" t="s">
        <v>8373</v>
      </c>
      <c r="G1307" s="6" t="s">
        <v>67</v>
      </c>
      <c r="H1307" s="6" t="s">
        <v>39</v>
      </c>
      <c r="I1307" s="8" t="s">
        <v>40</v>
      </c>
      <c r="J1307" s="9">
        <v>1</v>
      </c>
      <c r="K1307" s="9">
        <v>96</v>
      </c>
      <c r="L1307" s="9">
        <v>2022</v>
      </c>
      <c r="M1307" s="8" t="s">
        <v>8374</v>
      </c>
      <c r="N1307" s="8" t="s">
        <v>42</v>
      </c>
      <c r="O1307" s="8" t="s">
        <v>319</v>
      </c>
      <c r="P1307" s="6" t="s">
        <v>44</v>
      </c>
      <c r="Q1307" s="8" t="s">
        <v>45</v>
      </c>
      <c r="R1307" s="10" t="s">
        <v>8375</v>
      </c>
      <c r="S1307" s="11" t="s">
        <v>8376</v>
      </c>
      <c r="T1307" s="6"/>
      <c r="U1307" s="24" t="str">
        <f>HYPERLINK("https://media.infra-m.ru/1864/1864138/cover/1864138.jpg", "Обложка")</f>
        <v>Обложка</v>
      </c>
      <c r="V1307" s="24" t="str">
        <f>HYPERLINK("https://znanium.ru/catalog/product/1864138", "Ознакомиться")</f>
        <v>Ознакомиться</v>
      </c>
      <c r="W1307" s="8" t="s">
        <v>3009</v>
      </c>
      <c r="X1307" s="6"/>
      <c r="Y1307" s="6"/>
      <c r="Z1307" s="6" t="s">
        <v>48</v>
      </c>
      <c r="AA1307" s="6" t="s">
        <v>223</v>
      </c>
      <c r="AB1307" s="8"/>
    </row>
    <row r="1308" spans="1:28" s="4" customFormat="1" ht="51.95" customHeight="1">
      <c r="A1308" s="5">
        <v>0</v>
      </c>
      <c r="B1308" s="6" t="s">
        <v>8377</v>
      </c>
      <c r="C1308" s="7">
        <v>1660</v>
      </c>
      <c r="D1308" s="8" t="s">
        <v>8378</v>
      </c>
      <c r="E1308" s="8" t="s">
        <v>8379</v>
      </c>
      <c r="F1308" s="8" t="s">
        <v>8076</v>
      </c>
      <c r="G1308" s="6" t="s">
        <v>90</v>
      </c>
      <c r="H1308" s="6" t="s">
        <v>54</v>
      </c>
      <c r="I1308" s="8" t="s">
        <v>40</v>
      </c>
      <c r="J1308" s="9">
        <v>1</v>
      </c>
      <c r="K1308" s="9">
        <v>352</v>
      </c>
      <c r="L1308" s="9">
        <v>2024</v>
      </c>
      <c r="M1308" s="8" t="s">
        <v>8380</v>
      </c>
      <c r="N1308" s="8" t="s">
        <v>42</v>
      </c>
      <c r="O1308" s="8" t="s">
        <v>219</v>
      </c>
      <c r="P1308" s="6" t="s">
        <v>58</v>
      </c>
      <c r="Q1308" s="8" t="s">
        <v>45</v>
      </c>
      <c r="R1308" s="10" t="s">
        <v>8381</v>
      </c>
      <c r="S1308" s="11" t="s">
        <v>8382</v>
      </c>
      <c r="T1308" s="6"/>
      <c r="U1308" s="24" t="str">
        <f>HYPERLINK("https://media.infra-m.ru/2136/2136807/cover/2136807.jpg", "Обложка")</f>
        <v>Обложка</v>
      </c>
      <c r="V1308" s="24" t="str">
        <f>HYPERLINK("https://znanium.ru/catalog/product/2136807", "Ознакомиться")</f>
        <v>Ознакомиться</v>
      </c>
      <c r="W1308" s="8" t="s">
        <v>269</v>
      </c>
      <c r="X1308" s="6"/>
      <c r="Y1308" s="6" t="s">
        <v>30</v>
      </c>
      <c r="Z1308" s="6"/>
      <c r="AA1308" s="6" t="s">
        <v>8079</v>
      </c>
      <c r="AB1308" s="8"/>
    </row>
    <row r="1309" spans="1:28" s="4" customFormat="1" ht="42" customHeight="1">
      <c r="A1309" s="5">
        <v>0</v>
      </c>
      <c r="B1309" s="6" t="s">
        <v>8383</v>
      </c>
      <c r="C1309" s="13">
        <v>700</v>
      </c>
      <c r="D1309" s="8" t="s">
        <v>8384</v>
      </c>
      <c r="E1309" s="8" t="s">
        <v>8385</v>
      </c>
      <c r="F1309" s="8" t="s">
        <v>8386</v>
      </c>
      <c r="G1309" s="6" t="s">
        <v>67</v>
      </c>
      <c r="H1309" s="6" t="s">
        <v>54</v>
      </c>
      <c r="I1309" s="8" t="s">
        <v>8387</v>
      </c>
      <c r="J1309" s="9">
        <v>1</v>
      </c>
      <c r="K1309" s="9">
        <v>127</v>
      </c>
      <c r="L1309" s="9">
        <v>2026</v>
      </c>
      <c r="M1309" s="8" t="s">
        <v>8388</v>
      </c>
      <c r="N1309" s="8" t="s">
        <v>125</v>
      </c>
      <c r="O1309" s="8" t="s">
        <v>798</v>
      </c>
      <c r="P1309" s="6" t="s">
        <v>153</v>
      </c>
      <c r="Q1309" s="8" t="s">
        <v>1381</v>
      </c>
      <c r="R1309" s="10" t="s">
        <v>8389</v>
      </c>
      <c r="S1309" s="11"/>
      <c r="T1309" s="6"/>
      <c r="U1309" s="24" t="str">
        <f>HYPERLINK("https://media.infra-m.ru/2217/2217942/cover/2217942.jpg", "Обложка")</f>
        <v>Обложка</v>
      </c>
      <c r="V1309" s="24" t="str">
        <f>HYPERLINK("https://znanium.ru/catalog/product/2217942", "Ознакомиться")</f>
        <v>Ознакомиться</v>
      </c>
      <c r="W1309" s="8" t="s">
        <v>8390</v>
      </c>
      <c r="X1309" s="6"/>
      <c r="Y1309" s="6"/>
      <c r="Z1309" s="6"/>
      <c r="AA1309" s="6" t="s">
        <v>999</v>
      </c>
      <c r="AB1309" s="8"/>
    </row>
    <row r="1310" spans="1:28" s="4" customFormat="1" ht="42" customHeight="1">
      <c r="A1310" s="5">
        <v>0</v>
      </c>
      <c r="B1310" s="6" t="s">
        <v>8391</v>
      </c>
      <c r="C1310" s="13">
        <v>434.9</v>
      </c>
      <c r="D1310" s="8" t="s">
        <v>8392</v>
      </c>
      <c r="E1310" s="8" t="s">
        <v>8393</v>
      </c>
      <c r="F1310" s="8" t="s">
        <v>8386</v>
      </c>
      <c r="G1310" s="6" t="s">
        <v>67</v>
      </c>
      <c r="H1310" s="6" t="s">
        <v>39</v>
      </c>
      <c r="I1310" s="8"/>
      <c r="J1310" s="9">
        <v>1</v>
      </c>
      <c r="K1310" s="9">
        <v>128</v>
      </c>
      <c r="L1310" s="9">
        <v>2019</v>
      </c>
      <c r="M1310" s="8" t="s">
        <v>8394</v>
      </c>
      <c r="N1310" s="8" t="s">
        <v>125</v>
      </c>
      <c r="O1310" s="8" t="s">
        <v>798</v>
      </c>
      <c r="P1310" s="6" t="s">
        <v>8395</v>
      </c>
      <c r="Q1310" s="8" t="s">
        <v>1381</v>
      </c>
      <c r="R1310" s="10" t="s">
        <v>8389</v>
      </c>
      <c r="S1310" s="11"/>
      <c r="T1310" s="6"/>
      <c r="U1310" s="24" t="str">
        <f>HYPERLINK("https://media.infra-m.ru/1030/1030526/cover/1030526.jpg", "Обложка")</f>
        <v>Обложка</v>
      </c>
      <c r="V1310" s="24" t="str">
        <f>HYPERLINK("https://znanium.ru/catalog/product/2217942", "Ознакомиться")</f>
        <v>Ознакомиться</v>
      </c>
      <c r="W1310" s="8" t="s">
        <v>8390</v>
      </c>
      <c r="X1310" s="6"/>
      <c r="Y1310" s="6"/>
      <c r="Z1310" s="6"/>
      <c r="AA1310" s="6" t="s">
        <v>304</v>
      </c>
      <c r="AB1310" s="8"/>
    </row>
    <row r="1311" spans="1:28" s="4" customFormat="1" ht="51.95" customHeight="1">
      <c r="A1311" s="5">
        <v>0</v>
      </c>
      <c r="B1311" s="6" t="s">
        <v>8396</v>
      </c>
      <c r="C1311" s="13">
        <v>890</v>
      </c>
      <c r="D1311" s="8" t="s">
        <v>8397</v>
      </c>
      <c r="E1311" s="8" t="s">
        <v>8398</v>
      </c>
      <c r="F1311" s="8" t="s">
        <v>8399</v>
      </c>
      <c r="G1311" s="6" t="s">
        <v>90</v>
      </c>
      <c r="H1311" s="6" t="s">
        <v>54</v>
      </c>
      <c r="I1311" s="8" t="s">
        <v>40</v>
      </c>
      <c r="J1311" s="9">
        <v>1</v>
      </c>
      <c r="K1311" s="9">
        <v>160</v>
      </c>
      <c r="L1311" s="9">
        <v>2026</v>
      </c>
      <c r="M1311" s="8" t="s">
        <v>8400</v>
      </c>
      <c r="N1311" s="8" t="s">
        <v>42</v>
      </c>
      <c r="O1311" s="8" t="s">
        <v>243</v>
      </c>
      <c r="P1311" s="6" t="s">
        <v>44</v>
      </c>
      <c r="Q1311" s="8" t="s">
        <v>45</v>
      </c>
      <c r="R1311" s="10" t="s">
        <v>8401</v>
      </c>
      <c r="S1311" s="11" t="s">
        <v>5160</v>
      </c>
      <c r="T1311" s="6"/>
      <c r="U1311" s="24" t="str">
        <f>HYPERLINK("https://media.infra-m.ru/2213/2213663/cover/2213663.jpg", "Обложка")</f>
        <v>Обложка</v>
      </c>
      <c r="V1311" s="24" t="str">
        <f>HYPERLINK("https://znanium.ru/catalog/product/2213663", "Ознакомиться")</f>
        <v>Ознакомиться</v>
      </c>
      <c r="W1311" s="8" t="s">
        <v>2143</v>
      </c>
      <c r="X1311" s="6"/>
      <c r="Y1311" s="6"/>
      <c r="Z1311" s="6" t="s">
        <v>48</v>
      </c>
      <c r="AA1311" s="6" t="s">
        <v>740</v>
      </c>
      <c r="AB1311" s="8"/>
    </row>
    <row r="1312" spans="1:28" s="4" customFormat="1" ht="51.95" customHeight="1">
      <c r="A1312" s="5">
        <v>0</v>
      </c>
      <c r="B1312" s="6" t="s">
        <v>8402</v>
      </c>
      <c r="C1312" s="7">
        <v>1014.9</v>
      </c>
      <c r="D1312" s="8" t="s">
        <v>8403</v>
      </c>
      <c r="E1312" s="8" t="s">
        <v>8404</v>
      </c>
      <c r="F1312" s="8" t="s">
        <v>8405</v>
      </c>
      <c r="G1312" s="6" t="s">
        <v>38</v>
      </c>
      <c r="H1312" s="6" t="s">
        <v>54</v>
      </c>
      <c r="I1312" s="8" t="s">
        <v>40</v>
      </c>
      <c r="J1312" s="9">
        <v>1</v>
      </c>
      <c r="K1312" s="9">
        <v>224</v>
      </c>
      <c r="L1312" s="9">
        <v>2023</v>
      </c>
      <c r="M1312" s="8" t="s">
        <v>8406</v>
      </c>
      <c r="N1312" s="8" t="s">
        <v>42</v>
      </c>
      <c r="O1312" s="8" t="s">
        <v>243</v>
      </c>
      <c r="P1312" s="6" t="s">
        <v>44</v>
      </c>
      <c r="Q1312" s="8" t="s">
        <v>45</v>
      </c>
      <c r="R1312" s="10" t="s">
        <v>426</v>
      </c>
      <c r="S1312" s="11" t="s">
        <v>7180</v>
      </c>
      <c r="T1312" s="6"/>
      <c r="U1312" s="24" t="str">
        <f>HYPERLINK("https://media.infra-m.ru/1897/1897003/cover/1897003.jpg", "Обложка")</f>
        <v>Обложка</v>
      </c>
      <c r="V1312" s="24" t="str">
        <f>HYPERLINK("https://znanium.ru/catalog/product/961719", "Ознакомиться")</f>
        <v>Ознакомиться</v>
      </c>
      <c r="W1312" s="8" t="s">
        <v>293</v>
      </c>
      <c r="X1312" s="6"/>
      <c r="Y1312" s="6"/>
      <c r="Z1312" s="6" t="s">
        <v>48</v>
      </c>
      <c r="AA1312" s="6" t="s">
        <v>740</v>
      </c>
      <c r="AB1312" s="8"/>
    </row>
    <row r="1313" spans="1:28" s="4" customFormat="1" ht="51.95" customHeight="1">
      <c r="A1313" s="5">
        <v>0</v>
      </c>
      <c r="B1313" s="6" t="s">
        <v>8407</v>
      </c>
      <c r="C1313" s="7">
        <v>1940</v>
      </c>
      <c r="D1313" s="8" t="s">
        <v>8408</v>
      </c>
      <c r="E1313" s="8" t="s">
        <v>8409</v>
      </c>
      <c r="F1313" s="8" t="s">
        <v>298</v>
      </c>
      <c r="G1313" s="6" t="s">
        <v>90</v>
      </c>
      <c r="H1313" s="6" t="s">
        <v>54</v>
      </c>
      <c r="I1313" s="8" t="s">
        <v>40</v>
      </c>
      <c r="J1313" s="9">
        <v>1</v>
      </c>
      <c r="K1313" s="9">
        <v>368</v>
      </c>
      <c r="L1313" s="9">
        <v>2026</v>
      </c>
      <c r="M1313" s="8" t="s">
        <v>8410</v>
      </c>
      <c r="N1313" s="8" t="s">
        <v>42</v>
      </c>
      <c r="O1313" s="8" t="s">
        <v>243</v>
      </c>
      <c r="P1313" s="6" t="s">
        <v>44</v>
      </c>
      <c r="Q1313" s="8" t="s">
        <v>45</v>
      </c>
      <c r="R1313" s="10" t="s">
        <v>8411</v>
      </c>
      <c r="S1313" s="11" t="s">
        <v>1883</v>
      </c>
      <c r="T1313" s="6"/>
      <c r="U1313" s="24" t="str">
        <f>HYPERLINK("https://media.infra-m.ru/2216/2216855/cover/2216855.jpg", "Обложка")</f>
        <v>Обложка</v>
      </c>
      <c r="V1313" s="24" t="str">
        <f>HYPERLINK("https://znanium.ru/catalog/product/2216855", "Ознакомиться")</f>
        <v>Ознакомиться</v>
      </c>
      <c r="W1313" s="8" t="s">
        <v>303</v>
      </c>
      <c r="X1313" s="6"/>
      <c r="Y1313" s="6" t="s">
        <v>30</v>
      </c>
      <c r="Z1313" s="6"/>
      <c r="AA1313" s="6" t="s">
        <v>3514</v>
      </c>
      <c r="AB1313" s="8"/>
    </row>
    <row r="1314" spans="1:28" s="4" customFormat="1" ht="51.95" customHeight="1">
      <c r="A1314" s="5">
        <v>0</v>
      </c>
      <c r="B1314" s="6" t="s">
        <v>8412</v>
      </c>
      <c r="C1314" s="7">
        <v>2044</v>
      </c>
      <c r="D1314" s="8" t="s">
        <v>8413</v>
      </c>
      <c r="E1314" s="8" t="s">
        <v>8414</v>
      </c>
      <c r="F1314" s="8" t="s">
        <v>8415</v>
      </c>
      <c r="G1314" s="6" t="s">
        <v>38</v>
      </c>
      <c r="H1314" s="6" t="s">
        <v>299</v>
      </c>
      <c r="I1314" s="8" t="s">
        <v>40</v>
      </c>
      <c r="J1314" s="9">
        <v>1</v>
      </c>
      <c r="K1314" s="9">
        <v>544</v>
      </c>
      <c r="L1314" s="9">
        <v>2023</v>
      </c>
      <c r="M1314" s="8" t="s">
        <v>8416</v>
      </c>
      <c r="N1314" s="8" t="s">
        <v>42</v>
      </c>
      <c r="O1314" s="8" t="s">
        <v>219</v>
      </c>
      <c r="P1314" s="6" t="s">
        <v>58</v>
      </c>
      <c r="Q1314" s="8" t="s">
        <v>45</v>
      </c>
      <c r="R1314" s="10" t="s">
        <v>8417</v>
      </c>
      <c r="S1314" s="11" t="s">
        <v>8418</v>
      </c>
      <c r="T1314" s="6"/>
      <c r="U1314" s="24" t="str">
        <f>HYPERLINK("https://media.infra-m.ru/2021/2021446/cover/2021446.jpg", "Обложка")</f>
        <v>Обложка</v>
      </c>
      <c r="V1314" s="24" t="str">
        <f>HYPERLINK("https://znanium.ru/catalog/product/961720", "Ознакомиться")</f>
        <v>Ознакомиться</v>
      </c>
      <c r="W1314" s="8" t="s">
        <v>3749</v>
      </c>
      <c r="X1314" s="6"/>
      <c r="Y1314" s="6"/>
      <c r="Z1314" s="6" t="s">
        <v>48</v>
      </c>
      <c r="AA1314" s="6" t="s">
        <v>563</v>
      </c>
      <c r="AB1314" s="8"/>
    </row>
    <row r="1315" spans="1:28" s="4" customFormat="1" ht="51.95" customHeight="1">
      <c r="A1315" s="5">
        <v>0</v>
      </c>
      <c r="B1315" s="6" t="s">
        <v>8419</v>
      </c>
      <c r="C1315" s="7">
        <v>2050</v>
      </c>
      <c r="D1315" s="8" t="s">
        <v>8420</v>
      </c>
      <c r="E1315" s="8" t="s">
        <v>8421</v>
      </c>
      <c r="F1315" s="8" t="s">
        <v>8422</v>
      </c>
      <c r="G1315" s="6" t="s">
        <v>90</v>
      </c>
      <c r="H1315" s="6" t="s">
        <v>54</v>
      </c>
      <c r="I1315" s="8" t="s">
        <v>40</v>
      </c>
      <c r="J1315" s="9">
        <v>1</v>
      </c>
      <c r="K1315" s="9">
        <v>383</v>
      </c>
      <c r="L1315" s="9">
        <v>2026</v>
      </c>
      <c r="M1315" s="8" t="s">
        <v>8423</v>
      </c>
      <c r="N1315" s="8" t="s">
        <v>42</v>
      </c>
      <c r="O1315" s="8" t="s">
        <v>219</v>
      </c>
      <c r="P1315" s="6" t="s">
        <v>58</v>
      </c>
      <c r="Q1315" s="8" t="s">
        <v>45</v>
      </c>
      <c r="R1315" s="10" t="s">
        <v>8424</v>
      </c>
      <c r="S1315" s="11" t="s">
        <v>8425</v>
      </c>
      <c r="T1315" s="6"/>
      <c r="U1315" s="24" t="str">
        <f>HYPERLINK("https://media.infra-m.ru/2214/2214880/cover/2214880.jpg", "Обложка")</f>
        <v>Обложка</v>
      </c>
      <c r="V1315" s="24" t="str">
        <f>HYPERLINK("https://znanium.ru/catalog/product/2214880", "Ознакомиться")</f>
        <v>Ознакомиться</v>
      </c>
      <c r="W1315" s="8" t="s">
        <v>3749</v>
      </c>
      <c r="X1315" s="6"/>
      <c r="Y1315" s="6" t="s">
        <v>30</v>
      </c>
      <c r="Z1315" s="6"/>
      <c r="AA1315" s="6" t="s">
        <v>95</v>
      </c>
      <c r="AB1315" s="8"/>
    </row>
    <row r="1316" spans="1:28" s="4" customFormat="1" ht="51.95" customHeight="1">
      <c r="A1316" s="5">
        <v>0</v>
      </c>
      <c r="B1316" s="6" t="s">
        <v>8426</v>
      </c>
      <c r="C1316" s="7">
        <v>2470</v>
      </c>
      <c r="D1316" s="8" t="s">
        <v>8427</v>
      </c>
      <c r="E1316" s="8" t="s">
        <v>8428</v>
      </c>
      <c r="F1316" s="8" t="s">
        <v>8429</v>
      </c>
      <c r="G1316" s="6" t="s">
        <v>38</v>
      </c>
      <c r="H1316" s="6" t="s">
        <v>39</v>
      </c>
      <c r="I1316" s="8" t="s">
        <v>69</v>
      </c>
      <c r="J1316" s="9">
        <v>1</v>
      </c>
      <c r="K1316" s="9">
        <v>495</v>
      </c>
      <c r="L1316" s="9">
        <v>2025</v>
      </c>
      <c r="M1316" s="8" t="s">
        <v>8430</v>
      </c>
      <c r="N1316" s="8" t="s">
        <v>42</v>
      </c>
      <c r="O1316" s="8" t="s">
        <v>169</v>
      </c>
      <c r="P1316" s="6" t="s">
        <v>44</v>
      </c>
      <c r="Q1316" s="8" t="s">
        <v>45</v>
      </c>
      <c r="R1316" s="10" t="s">
        <v>8431</v>
      </c>
      <c r="S1316" s="11" t="s">
        <v>276</v>
      </c>
      <c r="T1316" s="6"/>
      <c r="U1316" s="24" t="str">
        <f>HYPERLINK("https://media.infra-m.ru/2165/2165082/cover/2165082.jpg", "Обложка")</f>
        <v>Обложка</v>
      </c>
      <c r="V1316" s="24" t="str">
        <f>HYPERLINK("https://znanium.ru/catalog/product/2165082", "Ознакомиться")</f>
        <v>Ознакомиться</v>
      </c>
      <c r="W1316" s="8" t="s">
        <v>3618</v>
      </c>
      <c r="X1316" s="6"/>
      <c r="Y1316" s="6"/>
      <c r="Z1316" s="6"/>
      <c r="AA1316" s="6" t="s">
        <v>191</v>
      </c>
      <c r="AB1316" s="8"/>
    </row>
    <row r="1317" spans="1:28" s="4" customFormat="1" ht="51.95" customHeight="1">
      <c r="A1317" s="5">
        <v>0</v>
      </c>
      <c r="B1317" s="6" t="s">
        <v>8432</v>
      </c>
      <c r="C1317" s="7">
        <v>1334.9</v>
      </c>
      <c r="D1317" s="8" t="s">
        <v>8433</v>
      </c>
      <c r="E1317" s="8" t="s">
        <v>8434</v>
      </c>
      <c r="F1317" s="8" t="s">
        <v>6638</v>
      </c>
      <c r="G1317" s="6" t="s">
        <v>38</v>
      </c>
      <c r="H1317" s="6" t="s">
        <v>39</v>
      </c>
      <c r="I1317" s="8" t="s">
        <v>69</v>
      </c>
      <c r="J1317" s="9">
        <v>1</v>
      </c>
      <c r="K1317" s="9">
        <v>352</v>
      </c>
      <c r="L1317" s="9">
        <v>2022</v>
      </c>
      <c r="M1317" s="8" t="s">
        <v>8435</v>
      </c>
      <c r="N1317" s="8" t="s">
        <v>42</v>
      </c>
      <c r="O1317" s="8" t="s">
        <v>169</v>
      </c>
      <c r="P1317" s="6" t="s">
        <v>58</v>
      </c>
      <c r="Q1317" s="8" t="s">
        <v>45</v>
      </c>
      <c r="R1317" s="10" t="s">
        <v>8436</v>
      </c>
      <c r="S1317" s="11" t="s">
        <v>8437</v>
      </c>
      <c r="T1317" s="6"/>
      <c r="U1317" s="24" t="str">
        <f>HYPERLINK("https://media.infra-m.ru/1851/1851446/cover/1851446.jpg", "Обложка")</f>
        <v>Обложка</v>
      </c>
      <c r="V1317" s="24" t="str">
        <f>HYPERLINK("https://znanium.ru/catalog/product/1069163", "Ознакомиться")</f>
        <v>Ознакомиться</v>
      </c>
      <c r="W1317" s="8" t="s">
        <v>180</v>
      </c>
      <c r="X1317" s="6"/>
      <c r="Y1317" s="6"/>
      <c r="Z1317" s="6"/>
      <c r="AA1317" s="6" t="s">
        <v>147</v>
      </c>
      <c r="AB1317" s="8"/>
    </row>
    <row r="1318" spans="1:28" s="4" customFormat="1" ht="51.95" customHeight="1">
      <c r="A1318" s="5">
        <v>0</v>
      </c>
      <c r="B1318" s="6" t="s">
        <v>8438</v>
      </c>
      <c r="C1318" s="7">
        <v>2114</v>
      </c>
      <c r="D1318" s="8" t="s">
        <v>8439</v>
      </c>
      <c r="E1318" s="8" t="s">
        <v>8440</v>
      </c>
      <c r="F1318" s="8" t="s">
        <v>6638</v>
      </c>
      <c r="G1318" s="6" t="s">
        <v>38</v>
      </c>
      <c r="H1318" s="6" t="s">
        <v>54</v>
      </c>
      <c r="I1318" s="8" t="s">
        <v>40</v>
      </c>
      <c r="J1318" s="9">
        <v>1</v>
      </c>
      <c r="K1318" s="9">
        <v>405</v>
      </c>
      <c r="L1318" s="9">
        <v>2025</v>
      </c>
      <c r="M1318" s="8" t="s">
        <v>8441</v>
      </c>
      <c r="N1318" s="8" t="s">
        <v>42</v>
      </c>
      <c r="O1318" s="8" t="s">
        <v>187</v>
      </c>
      <c r="P1318" s="6" t="s">
        <v>58</v>
      </c>
      <c r="Q1318" s="8" t="s">
        <v>45</v>
      </c>
      <c r="R1318" s="10" t="s">
        <v>8442</v>
      </c>
      <c r="S1318" s="11" t="s">
        <v>93</v>
      </c>
      <c r="T1318" s="6"/>
      <c r="U1318" s="24" t="str">
        <f>HYPERLINK("https://media.infra-m.ru/2216/2216922/cover/2216922.jpg", "Обложка")</f>
        <v>Обложка</v>
      </c>
      <c r="V1318" s="24" t="str">
        <f>HYPERLINK("https://znanium.ru/catalog/product/2214749", "Ознакомиться")</f>
        <v>Ознакомиться</v>
      </c>
      <c r="W1318" s="8" t="s">
        <v>180</v>
      </c>
      <c r="X1318" s="6"/>
      <c r="Y1318" s="6"/>
      <c r="Z1318" s="6"/>
      <c r="AA1318" s="6" t="s">
        <v>2486</v>
      </c>
      <c r="AB1318" s="8"/>
    </row>
    <row r="1319" spans="1:28" s="4" customFormat="1" ht="51.95" customHeight="1">
      <c r="A1319" s="5">
        <v>0</v>
      </c>
      <c r="B1319" s="6" t="s">
        <v>8443</v>
      </c>
      <c r="C1319" s="7">
        <v>1690</v>
      </c>
      <c r="D1319" s="8" t="s">
        <v>8444</v>
      </c>
      <c r="E1319" s="8" t="s">
        <v>8445</v>
      </c>
      <c r="F1319" s="8" t="s">
        <v>8446</v>
      </c>
      <c r="G1319" s="6" t="s">
        <v>90</v>
      </c>
      <c r="H1319" s="6" t="s">
        <v>39</v>
      </c>
      <c r="I1319" s="8" t="s">
        <v>40</v>
      </c>
      <c r="J1319" s="9">
        <v>1</v>
      </c>
      <c r="K1319" s="9">
        <v>367</v>
      </c>
      <c r="L1319" s="9">
        <v>2024</v>
      </c>
      <c r="M1319" s="8" t="s">
        <v>8447</v>
      </c>
      <c r="N1319" s="8" t="s">
        <v>42</v>
      </c>
      <c r="O1319" s="8" t="s">
        <v>169</v>
      </c>
      <c r="P1319" s="6" t="s">
        <v>44</v>
      </c>
      <c r="Q1319" s="8" t="s">
        <v>45</v>
      </c>
      <c r="R1319" s="10" t="s">
        <v>426</v>
      </c>
      <c r="S1319" s="11" t="s">
        <v>8448</v>
      </c>
      <c r="T1319" s="6"/>
      <c r="U1319" s="24" t="str">
        <f>HYPERLINK("https://media.infra-m.ru/2103/2103204/cover/2103204.jpg", "Обложка")</f>
        <v>Обложка</v>
      </c>
      <c r="V1319" s="24" t="str">
        <f>HYPERLINK("https://znanium.ru/catalog/product/2103204", "Ознакомиться")</f>
        <v>Ознакомиться</v>
      </c>
      <c r="W1319" s="8" t="s">
        <v>180</v>
      </c>
      <c r="X1319" s="6"/>
      <c r="Y1319" s="6"/>
      <c r="Z1319" s="6"/>
      <c r="AA1319" s="6" t="s">
        <v>2161</v>
      </c>
      <c r="AB1319" s="8"/>
    </row>
    <row r="1320" spans="1:28" s="4" customFormat="1" ht="51.95" customHeight="1">
      <c r="A1320" s="5">
        <v>0</v>
      </c>
      <c r="B1320" s="6" t="s">
        <v>8449</v>
      </c>
      <c r="C1320" s="7">
        <v>1700</v>
      </c>
      <c r="D1320" s="8" t="s">
        <v>8450</v>
      </c>
      <c r="E1320" s="8" t="s">
        <v>8451</v>
      </c>
      <c r="F1320" s="8" t="s">
        <v>424</v>
      </c>
      <c r="G1320" s="6" t="s">
        <v>90</v>
      </c>
      <c r="H1320" s="6" t="s">
        <v>54</v>
      </c>
      <c r="I1320" s="8" t="s">
        <v>40</v>
      </c>
      <c r="J1320" s="9">
        <v>1</v>
      </c>
      <c r="K1320" s="9">
        <v>328</v>
      </c>
      <c r="L1320" s="9">
        <v>2025</v>
      </c>
      <c r="M1320" s="8" t="s">
        <v>8452</v>
      </c>
      <c r="N1320" s="8" t="s">
        <v>42</v>
      </c>
      <c r="O1320" s="8" t="s">
        <v>169</v>
      </c>
      <c r="P1320" s="6" t="s">
        <v>44</v>
      </c>
      <c r="Q1320" s="8" t="s">
        <v>45</v>
      </c>
      <c r="R1320" s="10" t="s">
        <v>8453</v>
      </c>
      <c r="S1320" s="11" t="s">
        <v>8454</v>
      </c>
      <c r="T1320" s="6"/>
      <c r="U1320" s="24" t="str">
        <f>HYPERLINK("https://media.infra-m.ru/2191/2191607/cover/2191607.jpg", "Обложка")</f>
        <v>Обложка</v>
      </c>
      <c r="V1320" s="24" t="str">
        <f>HYPERLINK("https://znanium.ru/catalog/product/2191607", "Ознакомиться")</f>
        <v>Ознакомиться</v>
      </c>
      <c r="W1320" s="8" t="s">
        <v>180</v>
      </c>
      <c r="X1320" s="6"/>
      <c r="Y1320" s="6"/>
      <c r="Z1320" s="6" t="s">
        <v>48</v>
      </c>
      <c r="AA1320" s="6" t="s">
        <v>362</v>
      </c>
      <c r="AB1320" s="8"/>
    </row>
    <row r="1321" spans="1:28" s="4" customFormat="1" ht="51.95" customHeight="1">
      <c r="A1321" s="5">
        <v>0</v>
      </c>
      <c r="B1321" s="6" t="s">
        <v>8455</v>
      </c>
      <c r="C1321" s="7">
        <v>1964</v>
      </c>
      <c r="D1321" s="8" t="s">
        <v>8456</v>
      </c>
      <c r="E1321" s="8" t="s">
        <v>8457</v>
      </c>
      <c r="F1321" s="8" t="s">
        <v>8458</v>
      </c>
      <c r="G1321" s="6" t="s">
        <v>90</v>
      </c>
      <c r="H1321" s="6" t="s">
        <v>39</v>
      </c>
      <c r="I1321" s="8" t="s">
        <v>40</v>
      </c>
      <c r="J1321" s="9">
        <v>1</v>
      </c>
      <c r="K1321" s="9">
        <v>357</v>
      </c>
      <c r="L1321" s="9">
        <v>2026</v>
      </c>
      <c r="M1321" s="8" t="s">
        <v>8459</v>
      </c>
      <c r="N1321" s="8" t="s">
        <v>42</v>
      </c>
      <c r="O1321" s="8" t="s">
        <v>169</v>
      </c>
      <c r="P1321" s="6" t="s">
        <v>58</v>
      </c>
      <c r="Q1321" s="8" t="s">
        <v>45</v>
      </c>
      <c r="R1321" s="10" t="s">
        <v>8460</v>
      </c>
      <c r="S1321" s="11" t="s">
        <v>2173</v>
      </c>
      <c r="T1321" s="6"/>
      <c r="U1321" s="24" t="str">
        <f>HYPERLINK("https://media.infra-m.ru/2222/2222595/cover/2222595.jpg", "Обложка")</f>
        <v>Обложка</v>
      </c>
      <c r="V1321" s="24" t="str">
        <f>HYPERLINK("https://znanium.ru/catalog/product/1657587", "Ознакомиться")</f>
        <v>Ознакомиться</v>
      </c>
      <c r="W1321" s="8" t="s">
        <v>593</v>
      </c>
      <c r="X1321" s="6"/>
      <c r="Y1321" s="6" t="s">
        <v>30</v>
      </c>
      <c r="Z1321" s="6" t="s">
        <v>48</v>
      </c>
      <c r="AA1321" s="6" t="s">
        <v>111</v>
      </c>
      <c r="AB1321" s="8"/>
    </row>
    <row r="1322" spans="1:28" s="4" customFormat="1" ht="51.95" customHeight="1">
      <c r="A1322" s="5">
        <v>0</v>
      </c>
      <c r="B1322" s="6" t="s">
        <v>8461</v>
      </c>
      <c r="C1322" s="7">
        <v>2424</v>
      </c>
      <c r="D1322" s="8" t="s">
        <v>8462</v>
      </c>
      <c r="E1322" s="8" t="s">
        <v>8463</v>
      </c>
      <c r="F1322" s="8" t="s">
        <v>8076</v>
      </c>
      <c r="G1322" s="6" t="s">
        <v>90</v>
      </c>
      <c r="H1322" s="6" t="s">
        <v>39</v>
      </c>
      <c r="I1322" s="8" t="s">
        <v>40</v>
      </c>
      <c r="J1322" s="9">
        <v>1</v>
      </c>
      <c r="K1322" s="9">
        <v>480</v>
      </c>
      <c r="L1322" s="9">
        <v>2025</v>
      </c>
      <c r="M1322" s="8" t="s">
        <v>8464</v>
      </c>
      <c r="N1322" s="8" t="s">
        <v>42</v>
      </c>
      <c r="O1322" s="8" t="s">
        <v>169</v>
      </c>
      <c r="P1322" s="6" t="s">
        <v>58</v>
      </c>
      <c r="Q1322" s="8" t="s">
        <v>45</v>
      </c>
      <c r="R1322" s="10" t="s">
        <v>8465</v>
      </c>
      <c r="S1322" s="11" t="s">
        <v>93</v>
      </c>
      <c r="T1322" s="6"/>
      <c r="U1322" s="24" t="str">
        <f>HYPERLINK("https://media.infra-m.ru/2202/2202106/cover/2202106.jpg", "Обложка")</f>
        <v>Обложка</v>
      </c>
      <c r="V1322" s="24" t="str">
        <f>HYPERLINK("https://znanium.ru/catalog/product/1819500", "Ознакомиться")</f>
        <v>Ознакомиться</v>
      </c>
      <c r="W1322" s="8" t="s">
        <v>269</v>
      </c>
      <c r="X1322" s="6"/>
      <c r="Y1322" s="6"/>
      <c r="Z1322" s="6"/>
      <c r="AA1322" s="6" t="s">
        <v>253</v>
      </c>
      <c r="AB1322" s="8"/>
    </row>
    <row r="1323" spans="1:28" s="4" customFormat="1" ht="51.95" customHeight="1">
      <c r="A1323" s="5">
        <v>0</v>
      </c>
      <c r="B1323" s="6" t="s">
        <v>8466</v>
      </c>
      <c r="C1323" s="7">
        <v>1400</v>
      </c>
      <c r="D1323" s="8" t="s">
        <v>8467</v>
      </c>
      <c r="E1323" s="8" t="s">
        <v>8468</v>
      </c>
      <c r="F1323" s="8" t="s">
        <v>8469</v>
      </c>
      <c r="G1323" s="6" t="s">
        <v>90</v>
      </c>
      <c r="H1323" s="6" t="s">
        <v>54</v>
      </c>
      <c r="I1323" s="8" t="s">
        <v>40</v>
      </c>
      <c r="J1323" s="9">
        <v>1</v>
      </c>
      <c r="K1323" s="9">
        <v>267</v>
      </c>
      <c r="L1323" s="9">
        <v>2026</v>
      </c>
      <c r="M1323" s="8" t="s">
        <v>8470</v>
      </c>
      <c r="N1323" s="8" t="s">
        <v>42</v>
      </c>
      <c r="O1323" s="8" t="s">
        <v>169</v>
      </c>
      <c r="P1323" s="6" t="s">
        <v>44</v>
      </c>
      <c r="Q1323" s="8" t="s">
        <v>45</v>
      </c>
      <c r="R1323" s="10" t="s">
        <v>8471</v>
      </c>
      <c r="S1323" s="11" t="s">
        <v>8472</v>
      </c>
      <c r="T1323" s="6"/>
      <c r="U1323" s="24" t="str">
        <f>HYPERLINK("https://media.infra-m.ru/2211/2211711/cover/2211711.jpg", "Обложка")</f>
        <v>Обложка</v>
      </c>
      <c r="V1323" s="24" t="str">
        <f>HYPERLINK("https://znanium.ru/catalog/product/2211711", "Ознакомиться")</f>
        <v>Ознакомиться</v>
      </c>
      <c r="W1323" s="8" t="s">
        <v>293</v>
      </c>
      <c r="X1323" s="6"/>
      <c r="Y1323" s="6" t="s">
        <v>30</v>
      </c>
      <c r="Z1323" s="6" t="s">
        <v>48</v>
      </c>
      <c r="AA1323" s="6" t="s">
        <v>111</v>
      </c>
      <c r="AB1323" s="8"/>
    </row>
    <row r="1324" spans="1:28" s="4" customFormat="1" ht="51.95" customHeight="1">
      <c r="A1324" s="5">
        <v>0</v>
      </c>
      <c r="B1324" s="6" t="s">
        <v>8473</v>
      </c>
      <c r="C1324" s="7">
        <v>2244</v>
      </c>
      <c r="D1324" s="8" t="s">
        <v>8474</v>
      </c>
      <c r="E1324" s="8" t="s">
        <v>8475</v>
      </c>
      <c r="F1324" s="8" t="s">
        <v>8476</v>
      </c>
      <c r="G1324" s="6" t="s">
        <v>38</v>
      </c>
      <c r="H1324" s="6" t="s">
        <v>299</v>
      </c>
      <c r="I1324" s="8" t="s">
        <v>1110</v>
      </c>
      <c r="J1324" s="9">
        <v>1</v>
      </c>
      <c r="K1324" s="9">
        <v>448</v>
      </c>
      <c r="L1324" s="9">
        <v>2025</v>
      </c>
      <c r="M1324" s="8" t="s">
        <v>8477</v>
      </c>
      <c r="N1324" s="8" t="s">
        <v>42</v>
      </c>
      <c r="O1324" s="8" t="s">
        <v>169</v>
      </c>
      <c r="P1324" s="6" t="s">
        <v>44</v>
      </c>
      <c r="Q1324" s="8" t="s">
        <v>45</v>
      </c>
      <c r="R1324" s="10" t="s">
        <v>8478</v>
      </c>
      <c r="S1324" s="11" t="s">
        <v>2980</v>
      </c>
      <c r="T1324" s="6"/>
      <c r="U1324" s="24" t="str">
        <f>HYPERLINK("https://media.infra-m.ru/2186/2186220/cover/2186220.jpg", "Обложка")</f>
        <v>Обложка</v>
      </c>
      <c r="V1324" s="24" t="str">
        <f>HYPERLINK("https://znanium.ru/catalog/product/2166878", "Ознакомиться")</f>
        <v>Ознакомиться</v>
      </c>
      <c r="W1324" s="8" t="s">
        <v>303</v>
      </c>
      <c r="X1324" s="6"/>
      <c r="Y1324" s="6" t="s">
        <v>30</v>
      </c>
      <c r="Z1324" s="6"/>
      <c r="AA1324" s="6" t="s">
        <v>835</v>
      </c>
      <c r="AB1324" s="8"/>
    </row>
    <row r="1325" spans="1:28" s="4" customFormat="1" ht="51.95" customHeight="1">
      <c r="A1325" s="5">
        <v>0</v>
      </c>
      <c r="B1325" s="6" t="s">
        <v>8479</v>
      </c>
      <c r="C1325" s="7">
        <v>1354</v>
      </c>
      <c r="D1325" s="8" t="s">
        <v>8480</v>
      </c>
      <c r="E1325" s="8" t="s">
        <v>8481</v>
      </c>
      <c r="F1325" s="8" t="s">
        <v>8482</v>
      </c>
      <c r="G1325" s="6" t="s">
        <v>90</v>
      </c>
      <c r="H1325" s="6" t="s">
        <v>39</v>
      </c>
      <c r="I1325" s="8" t="s">
        <v>40</v>
      </c>
      <c r="J1325" s="9">
        <v>1</v>
      </c>
      <c r="K1325" s="9">
        <v>288</v>
      </c>
      <c r="L1325" s="9">
        <v>2024</v>
      </c>
      <c r="M1325" s="8" t="s">
        <v>8483</v>
      </c>
      <c r="N1325" s="8" t="s">
        <v>42</v>
      </c>
      <c r="O1325" s="8" t="s">
        <v>169</v>
      </c>
      <c r="P1325" s="6" t="s">
        <v>44</v>
      </c>
      <c r="Q1325" s="8" t="s">
        <v>45</v>
      </c>
      <c r="R1325" s="10" t="s">
        <v>8484</v>
      </c>
      <c r="S1325" s="11" t="s">
        <v>1391</v>
      </c>
      <c r="T1325" s="6"/>
      <c r="U1325" s="24" t="str">
        <f>HYPERLINK("https://media.infra-m.ru/2142/2142577/cover/2142577.jpg", "Обложка")</f>
        <v>Обложка</v>
      </c>
      <c r="V1325" s="24" t="str">
        <f>HYPERLINK("https://znanium.ru/catalog/product/2130248", "Ознакомиться")</f>
        <v>Ознакомиться</v>
      </c>
      <c r="W1325" s="8" t="s">
        <v>180</v>
      </c>
      <c r="X1325" s="6"/>
      <c r="Y1325" s="6" t="s">
        <v>30</v>
      </c>
      <c r="Z1325" s="6"/>
      <c r="AA1325" s="6" t="s">
        <v>1730</v>
      </c>
      <c r="AB1325" s="8"/>
    </row>
    <row r="1326" spans="1:28" s="4" customFormat="1" ht="51.95" customHeight="1">
      <c r="A1326" s="5">
        <v>0</v>
      </c>
      <c r="B1326" s="6" t="s">
        <v>8485</v>
      </c>
      <c r="C1326" s="7">
        <v>1130</v>
      </c>
      <c r="D1326" s="8" t="s">
        <v>8486</v>
      </c>
      <c r="E1326" s="8" t="s">
        <v>8487</v>
      </c>
      <c r="F1326" s="8" t="s">
        <v>5850</v>
      </c>
      <c r="G1326" s="6" t="s">
        <v>90</v>
      </c>
      <c r="H1326" s="6" t="s">
        <v>824</v>
      </c>
      <c r="I1326" s="8" t="s">
        <v>40</v>
      </c>
      <c r="J1326" s="9">
        <v>1</v>
      </c>
      <c r="K1326" s="9">
        <v>240</v>
      </c>
      <c r="L1326" s="9">
        <v>2024</v>
      </c>
      <c r="M1326" s="8" t="s">
        <v>8488</v>
      </c>
      <c r="N1326" s="8" t="s">
        <v>42</v>
      </c>
      <c r="O1326" s="8" t="s">
        <v>169</v>
      </c>
      <c r="P1326" s="6" t="s">
        <v>58</v>
      </c>
      <c r="Q1326" s="8" t="s">
        <v>45</v>
      </c>
      <c r="R1326" s="10" t="s">
        <v>8489</v>
      </c>
      <c r="S1326" s="11" t="s">
        <v>8490</v>
      </c>
      <c r="T1326" s="6"/>
      <c r="U1326" s="24" t="str">
        <f>HYPERLINK("https://media.infra-m.ru/2135/2135608/cover/2135608.jpg", "Обложка")</f>
        <v>Обложка</v>
      </c>
      <c r="V1326" s="24" t="str">
        <f>HYPERLINK("https://znanium.ru/catalog/product/2135608", "Ознакомиться")</f>
        <v>Ознакомиться</v>
      </c>
      <c r="W1326" s="8" t="s">
        <v>2309</v>
      </c>
      <c r="X1326" s="6"/>
      <c r="Y1326" s="6" t="s">
        <v>30</v>
      </c>
      <c r="Z1326" s="6"/>
      <c r="AA1326" s="6" t="s">
        <v>766</v>
      </c>
      <c r="AB1326" s="8"/>
    </row>
    <row r="1327" spans="1:28" s="4" customFormat="1" ht="51.95" customHeight="1">
      <c r="A1327" s="5">
        <v>0</v>
      </c>
      <c r="B1327" s="6" t="s">
        <v>8491</v>
      </c>
      <c r="C1327" s="7">
        <v>2590</v>
      </c>
      <c r="D1327" s="8" t="s">
        <v>8492</v>
      </c>
      <c r="E1327" s="8" t="s">
        <v>8493</v>
      </c>
      <c r="F1327" s="8" t="s">
        <v>8494</v>
      </c>
      <c r="G1327" s="6" t="s">
        <v>90</v>
      </c>
      <c r="H1327" s="6" t="s">
        <v>54</v>
      </c>
      <c r="I1327" s="8" t="s">
        <v>40</v>
      </c>
      <c r="J1327" s="9">
        <v>1</v>
      </c>
      <c r="K1327" s="9">
        <v>384</v>
      </c>
      <c r="L1327" s="9">
        <v>2026</v>
      </c>
      <c r="M1327" s="8" t="s">
        <v>8495</v>
      </c>
      <c r="N1327" s="8" t="s">
        <v>42</v>
      </c>
      <c r="O1327" s="8" t="s">
        <v>169</v>
      </c>
      <c r="P1327" s="6" t="s">
        <v>44</v>
      </c>
      <c r="Q1327" s="8" t="s">
        <v>45</v>
      </c>
      <c r="R1327" s="10" t="s">
        <v>8496</v>
      </c>
      <c r="S1327" s="11" t="s">
        <v>3792</v>
      </c>
      <c r="T1327" s="6"/>
      <c r="U1327" s="24" t="str">
        <f>HYPERLINK("https://media.infra-m.ru/2224/2224074/cover/2224074.jpg", "Обложка")</f>
        <v>Обложка</v>
      </c>
      <c r="V1327" s="24" t="str">
        <f>HYPERLINK("https://znanium.ru/catalog/product/2224074", "Ознакомиться")</f>
        <v>Ознакомиться</v>
      </c>
      <c r="W1327" s="8" t="s">
        <v>2007</v>
      </c>
      <c r="X1327" s="6"/>
      <c r="Y1327" s="6"/>
      <c r="Z1327" s="6" t="s">
        <v>48</v>
      </c>
      <c r="AA1327" s="6" t="s">
        <v>740</v>
      </c>
      <c r="AB1327" s="8"/>
    </row>
    <row r="1328" spans="1:28" s="4" customFormat="1" ht="51.95" customHeight="1">
      <c r="A1328" s="5">
        <v>0</v>
      </c>
      <c r="B1328" s="6" t="s">
        <v>8497</v>
      </c>
      <c r="C1328" s="7">
        <v>1250</v>
      </c>
      <c r="D1328" s="8" t="s">
        <v>8498</v>
      </c>
      <c r="E1328" s="8" t="s">
        <v>8499</v>
      </c>
      <c r="F1328" s="8" t="s">
        <v>6873</v>
      </c>
      <c r="G1328" s="6" t="s">
        <v>90</v>
      </c>
      <c r="H1328" s="6" t="s">
        <v>39</v>
      </c>
      <c r="I1328" s="8" t="s">
        <v>40</v>
      </c>
      <c r="J1328" s="9">
        <v>1</v>
      </c>
      <c r="K1328" s="9">
        <v>271</v>
      </c>
      <c r="L1328" s="9">
        <v>2024</v>
      </c>
      <c r="M1328" s="8" t="s">
        <v>8500</v>
      </c>
      <c r="N1328" s="8" t="s">
        <v>42</v>
      </c>
      <c r="O1328" s="8" t="s">
        <v>169</v>
      </c>
      <c r="P1328" s="6" t="s">
        <v>44</v>
      </c>
      <c r="Q1328" s="8" t="s">
        <v>45</v>
      </c>
      <c r="R1328" s="10" t="s">
        <v>8501</v>
      </c>
      <c r="S1328" s="11" t="s">
        <v>276</v>
      </c>
      <c r="T1328" s="6"/>
      <c r="U1328" s="24" t="str">
        <f>HYPERLINK("https://media.infra-m.ru/2102/2102664/cover/2102664.jpg", "Обложка")</f>
        <v>Обложка</v>
      </c>
      <c r="V1328" s="24" t="str">
        <f>HYPERLINK("https://znanium.ru/catalog/product/2102664", "Ознакомиться")</f>
        <v>Ознакомиться</v>
      </c>
      <c r="W1328" s="8" t="s">
        <v>277</v>
      </c>
      <c r="X1328" s="6"/>
      <c r="Y1328" s="6"/>
      <c r="Z1328" s="6"/>
      <c r="AA1328" s="6" t="s">
        <v>2008</v>
      </c>
      <c r="AB1328" s="8"/>
    </row>
    <row r="1329" spans="1:28" s="4" customFormat="1" ht="51.95" customHeight="1">
      <c r="A1329" s="5">
        <v>0</v>
      </c>
      <c r="B1329" s="6" t="s">
        <v>8502</v>
      </c>
      <c r="C1329" s="7">
        <v>1120</v>
      </c>
      <c r="D1329" s="8" t="s">
        <v>8503</v>
      </c>
      <c r="E1329" s="8" t="s">
        <v>8504</v>
      </c>
      <c r="F1329" s="8" t="s">
        <v>3926</v>
      </c>
      <c r="G1329" s="6" t="s">
        <v>90</v>
      </c>
      <c r="H1329" s="6" t="s">
        <v>54</v>
      </c>
      <c r="I1329" s="8" t="s">
        <v>40</v>
      </c>
      <c r="J1329" s="9">
        <v>1</v>
      </c>
      <c r="K1329" s="9">
        <v>204</v>
      </c>
      <c r="L1329" s="9">
        <v>2026</v>
      </c>
      <c r="M1329" s="8" t="s">
        <v>8505</v>
      </c>
      <c r="N1329" s="8" t="s">
        <v>42</v>
      </c>
      <c r="O1329" s="8" t="s">
        <v>187</v>
      </c>
      <c r="P1329" s="6" t="s">
        <v>58</v>
      </c>
      <c r="Q1329" s="8" t="s">
        <v>45</v>
      </c>
      <c r="R1329" s="10" t="s">
        <v>8506</v>
      </c>
      <c r="S1329" s="11" t="s">
        <v>8507</v>
      </c>
      <c r="T1329" s="6" t="s">
        <v>118</v>
      </c>
      <c r="U1329" s="24" t="str">
        <f>HYPERLINK("https://media.infra-m.ru/2215/2215360/cover/2215360.jpg", "Обложка")</f>
        <v>Обложка</v>
      </c>
      <c r="V1329" s="24" t="str">
        <f>HYPERLINK("https://znanium.ru/catalog/product/2215360", "Ознакомиться")</f>
        <v>Ознакомиться</v>
      </c>
      <c r="W1329" s="8"/>
      <c r="X1329" s="6"/>
      <c r="Y1329" s="6" t="s">
        <v>30</v>
      </c>
      <c r="Z1329" s="6"/>
      <c r="AA1329" s="6" t="s">
        <v>191</v>
      </c>
      <c r="AB1329" s="8"/>
    </row>
    <row r="1330" spans="1:28" s="4" customFormat="1" ht="51.95" customHeight="1">
      <c r="A1330" s="5">
        <v>0</v>
      </c>
      <c r="B1330" s="6" t="s">
        <v>8508</v>
      </c>
      <c r="C1330" s="13">
        <v>870</v>
      </c>
      <c r="D1330" s="8" t="s">
        <v>8509</v>
      </c>
      <c r="E1330" s="8" t="s">
        <v>8510</v>
      </c>
      <c r="F1330" s="8" t="s">
        <v>8511</v>
      </c>
      <c r="G1330" s="6" t="s">
        <v>90</v>
      </c>
      <c r="H1330" s="6" t="s">
        <v>54</v>
      </c>
      <c r="I1330" s="8" t="s">
        <v>40</v>
      </c>
      <c r="J1330" s="9">
        <v>1</v>
      </c>
      <c r="K1330" s="9">
        <v>161</v>
      </c>
      <c r="L1330" s="9">
        <v>2025</v>
      </c>
      <c r="M1330" s="8" t="s">
        <v>8512</v>
      </c>
      <c r="N1330" s="8" t="s">
        <v>56</v>
      </c>
      <c r="O1330" s="8" t="s">
        <v>3101</v>
      </c>
      <c r="P1330" s="6" t="s">
        <v>58</v>
      </c>
      <c r="Q1330" s="8" t="s">
        <v>45</v>
      </c>
      <c r="R1330" s="10" t="s">
        <v>8513</v>
      </c>
      <c r="S1330" s="11"/>
      <c r="T1330" s="6"/>
      <c r="U1330" s="24" t="str">
        <f>HYPERLINK("https://media.infra-m.ru/2192/2192156/cover/2192156.jpg", "Обложка")</f>
        <v>Обложка</v>
      </c>
      <c r="V1330" s="24" t="str">
        <f>HYPERLINK("https://znanium.ru/catalog/product/2192156", "Ознакомиться")</f>
        <v>Ознакомиться</v>
      </c>
      <c r="W1330" s="8" t="s">
        <v>7741</v>
      </c>
      <c r="X1330" s="6"/>
      <c r="Y1330" s="6"/>
      <c r="Z1330" s="6"/>
      <c r="AA1330" s="6" t="s">
        <v>49</v>
      </c>
      <c r="AB1330" s="8"/>
    </row>
    <row r="1331" spans="1:28" s="4" customFormat="1" ht="51.95" customHeight="1">
      <c r="A1331" s="5">
        <v>0</v>
      </c>
      <c r="B1331" s="6" t="s">
        <v>8514</v>
      </c>
      <c r="C1331" s="13">
        <v>790</v>
      </c>
      <c r="D1331" s="8" t="s">
        <v>8515</v>
      </c>
      <c r="E1331" s="8" t="s">
        <v>8516</v>
      </c>
      <c r="F1331" s="8" t="s">
        <v>8517</v>
      </c>
      <c r="G1331" s="6" t="s">
        <v>67</v>
      </c>
      <c r="H1331" s="6" t="s">
        <v>299</v>
      </c>
      <c r="I1331" s="8" t="s">
        <v>40</v>
      </c>
      <c r="J1331" s="9">
        <v>1</v>
      </c>
      <c r="K1331" s="9">
        <v>176</v>
      </c>
      <c r="L1331" s="9">
        <v>2020</v>
      </c>
      <c r="M1331" s="8" t="s">
        <v>8518</v>
      </c>
      <c r="N1331" s="8" t="s">
        <v>125</v>
      </c>
      <c r="O1331" s="8" t="s">
        <v>126</v>
      </c>
      <c r="P1331" s="6" t="s">
        <v>58</v>
      </c>
      <c r="Q1331" s="8" t="s">
        <v>45</v>
      </c>
      <c r="R1331" s="10" t="s">
        <v>8513</v>
      </c>
      <c r="S1331" s="11" t="s">
        <v>8519</v>
      </c>
      <c r="T1331" s="6"/>
      <c r="U1331" s="24" t="str">
        <f>HYPERLINK("https://media.infra-m.ru/1960/1960946/cover/1960946.jpg", "Обложка")</f>
        <v>Обложка</v>
      </c>
      <c r="V1331" s="24" t="str">
        <f>HYPERLINK("https://znanium.ru/catalog/product/2192156", "Ознакомиться")</f>
        <v>Ознакомиться</v>
      </c>
      <c r="W1331" s="8" t="s">
        <v>6929</v>
      </c>
      <c r="X1331" s="6"/>
      <c r="Y1331" s="6"/>
      <c r="Z1331" s="6"/>
      <c r="AA1331" s="6" t="s">
        <v>237</v>
      </c>
      <c r="AB1331" s="8"/>
    </row>
    <row r="1332" spans="1:28" s="4" customFormat="1" ht="51.95" customHeight="1">
      <c r="A1332" s="5">
        <v>0</v>
      </c>
      <c r="B1332" s="6" t="s">
        <v>8520</v>
      </c>
      <c r="C1332" s="13">
        <v>540</v>
      </c>
      <c r="D1332" s="8" t="s">
        <v>8521</v>
      </c>
      <c r="E1332" s="8" t="s">
        <v>8522</v>
      </c>
      <c r="F1332" s="8" t="s">
        <v>8523</v>
      </c>
      <c r="G1332" s="6" t="s">
        <v>38</v>
      </c>
      <c r="H1332" s="6" t="s">
        <v>54</v>
      </c>
      <c r="I1332" s="8" t="s">
        <v>40</v>
      </c>
      <c r="J1332" s="9">
        <v>1</v>
      </c>
      <c r="K1332" s="9">
        <v>158</v>
      </c>
      <c r="L1332" s="9">
        <v>2020</v>
      </c>
      <c r="M1332" s="8" t="s">
        <v>8524</v>
      </c>
      <c r="N1332" s="8" t="s">
        <v>56</v>
      </c>
      <c r="O1332" s="8" t="s">
        <v>3101</v>
      </c>
      <c r="P1332" s="6" t="s">
        <v>44</v>
      </c>
      <c r="Q1332" s="8" t="s">
        <v>45</v>
      </c>
      <c r="R1332" s="10" t="s">
        <v>8525</v>
      </c>
      <c r="S1332" s="11" t="s">
        <v>8526</v>
      </c>
      <c r="T1332" s="6"/>
      <c r="U1332" s="24" t="str">
        <f>HYPERLINK("https://media.infra-m.ru/1087/1087061/cover/1087061.jpg", "Обложка")</f>
        <v>Обложка</v>
      </c>
      <c r="V1332" s="24" t="str">
        <f>HYPERLINK("https://znanium.ru/catalog/product/1087061", "Ознакомиться")</f>
        <v>Ознакомиться</v>
      </c>
      <c r="W1332" s="8"/>
      <c r="X1332" s="6"/>
      <c r="Y1332" s="6"/>
      <c r="Z1332" s="6" t="s">
        <v>48</v>
      </c>
      <c r="AA1332" s="6" t="s">
        <v>740</v>
      </c>
      <c r="AB1332" s="8"/>
    </row>
    <row r="1333" spans="1:28" s="4" customFormat="1" ht="51.95" customHeight="1">
      <c r="A1333" s="5">
        <v>0</v>
      </c>
      <c r="B1333" s="6" t="s">
        <v>8527</v>
      </c>
      <c r="C1333" s="13">
        <v>600</v>
      </c>
      <c r="D1333" s="8" t="s">
        <v>8528</v>
      </c>
      <c r="E1333" s="8" t="s">
        <v>8529</v>
      </c>
      <c r="F1333" s="8" t="s">
        <v>8530</v>
      </c>
      <c r="G1333" s="6" t="s">
        <v>38</v>
      </c>
      <c r="H1333" s="6" t="s">
        <v>39</v>
      </c>
      <c r="I1333" s="8" t="s">
        <v>40</v>
      </c>
      <c r="J1333" s="9">
        <v>1</v>
      </c>
      <c r="K1333" s="9">
        <v>176</v>
      </c>
      <c r="L1333" s="9">
        <v>2020</v>
      </c>
      <c r="M1333" s="8" t="s">
        <v>8531</v>
      </c>
      <c r="N1333" s="8" t="s">
        <v>1306</v>
      </c>
      <c r="O1333" s="8" t="s">
        <v>1307</v>
      </c>
      <c r="P1333" s="6" t="s">
        <v>44</v>
      </c>
      <c r="Q1333" s="8" t="s">
        <v>45</v>
      </c>
      <c r="R1333" s="10" t="s">
        <v>8532</v>
      </c>
      <c r="S1333" s="11" t="s">
        <v>8533</v>
      </c>
      <c r="T1333" s="6"/>
      <c r="U1333" s="24" t="str">
        <f>HYPERLINK("https://media.infra-m.ru/1080/1080407/cover/1080407.jpg", "Обложка")</f>
        <v>Обложка</v>
      </c>
      <c r="V1333" s="24" t="str">
        <f>HYPERLINK("https://znanium.ru/catalog/product/1080407", "Ознакомиться")</f>
        <v>Ознакомиться</v>
      </c>
      <c r="W1333" s="8" t="s">
        <v>4876</v>
      </c>
      <c r="X1333" s="6"/>
      <c r="Y1333" s="6"/>
      <c r="Z1333" s="6" t="s">
        <v>48</v>
      </c>
      <c r="AA1333" s="6" t="s">
        <v>740</v>
      </c>
      <c r="AB1333" s="8"/>
    </row>
    <row r="1334" spans="1:28" s="4" customFormat="1" ht="51.95" customHeight="1">
      <c r="A1334" s="5">
        <v>0</v>
      </c>
      <c r="B1334" s="6" t="s">
        <v>8534</v>
      </c>
      <c r="C1334" s="7">
        <v>1130</v>
      </c>
      <c r="D1334" s="8" t="s">
        <v>8535</v>
      </c>
      <c r="E1334" s="8" t="s">
        <v>8536</v>
      </c>
      <c r="F1334" s="8" t="s">
        <v>8537</v>
      </c>
      <c r="G1334" s="6" t="s">
        <v>90</v>
      </c>
      <c r="H1334" s="6" t="s">
        <v>54</v>
      </c>
      <c r="I1334" s="8" t="s">
        <v>40</v>
      </c>
      <c r="J1334" s="9">
        <v>1</v>
      </c>
      <c r="K1334" s="9">
        <v>216</v>
      </c>
      <c r="L1334" s="9">
        <v>2026</v>
      </c>
      <c r="M1334" s="8" t="s">
        <v>8538</v>
      </c>
      <c r="N1334" s="8" t="s">
        <v>42</v>
      </c>
      <c r="O1334" s="8" t="s">
        <v>43</v>
      </c>
      <c r="P1334" s="6" t="s">
        <v>44</v>
      </c>
      <c r="Q1334" s="8" t="s">
        <v>45</v>
      </c>
      <c r="R1334" s="10" t="s">
        <v>4216</v>
      </c>
      <c r="S1334" s="11" t="s">
        <v>8539</v>
      </c>
      <c r="T1334" s="6" t="s">
        <v>118</v>
      </c>
      <c r="U1334" s="24" t="str">
        <f>HYPERLINK("https://media.infra-m.ru/2216/2216925/cover/2216925.jpg", "Обложка")</f>
        <v>Обложка</v>
      </c>
      <c r="V1334" s="24" t="str">
        <f>HYPERLINK("https://znanium.ru/catalog/product/2216925", "Ознакомиться")</f>
        <v>Ознакомиться</v>
      </c>
      <c r="W1334" s="8" t="s">
        <v>8540</v>
      </c>
      <c r="X1334" s="6"/>
      <c r="Y1334" s="6"/>
      <c r="Z1334" s="6" t="s">
        <v>207</v>
      </c>
      <c r="AA1334" s="6" t="s">
        <v>740</v>
      </c>
      <c r="AB1334" s="8"/>
    </row>
    <row r="1335" spans="1:28" s="4" customFormat="1" ht="51.95" customHeight="1">
      <c r="A1335" s="5">
        <v>0</v>
      </c>
      <c r="B1335" s="6" t="s">
        <v>8541</v>
      </c>
      <c r="C1335" s="7">
        <v>1994</v>
      </c>
      <c r="D1335" s="8" t="s">
        <v>8542</v>
      </c>
      <c r="E1335" s="8" t="s">
        <v>8543</v>
      </c>
      <c r="F1335" s="8" t="s">
        <v>5046</v>
      </c>
      <c r="G1335" s="6" t="s">
        <v>90</v>
      </c>
      <c r="H1335" s="6" t="s">
        <v>39</v>
      </c>
      <c r="I1335" s="8" t="s">
        <v>40</v>
      </c>
      <c r="J1335" s="9">
        <v>1</v>
      </c>
      <c r="K1335" s="9">
        <v>399</v>
      </c>
      <c r="L1335" s="9">
        <v>2025</v>
      </c>
      <c r="M1335" s="8" t="s">
        <v>8544</v>
      </c>
      <c r="N1335" s="8" t="s">
        <v>42</v>
      </c>
      <c r="O1335" s="8" t="s">
        <v>43</v>
      </c>
      <c r="P1335" s="6" t="s">
        <v>44</v>
      </c>
      <c r="Q1335" s="8" t="s">
        <v>45</v>
      </c>
      <c r="R1335" s="10" t="s">
        <v>8545</v>
      </c>
      <c r="S1335" s="11" t="s">
        <v>1106</v>
      </c>
      <c r="T1335" s="6"/>
      <c r="U1335" s="24" t="str">
        <f>HYPERLINK("https://media.infra-m.ru/2188/2188207/cover/2188207.jpg", "Обложка")</f>
        <v>Обложка</v>
      </c>
      <c r="V1335" s="24" t="str">
        <f>HYPERLINK("https://znanium.ru/catalog/product/1941740", "Ознакомиться")</f>
        <v>Ознакомиться</v>
      </c>
      <c r="W1335" s="8" t="s">
        <v>818</v>
      </c>
      <c r="X1335" s="6"/>
      <c r="Y1335" s="6"/>
      <c r="Z1335" s="6"/>
      <c r="AA1335" s="6" t="s">
        <v>891</v>
      </c>
      <c r="AB1335" s="8"/>
    </row>
  </sheetData>
  <mergeCells count="8">
    <mergeCell ref="A1:E1"/>
    <mergeCell ref="F1:I5"/>
    <mergeCell ref="J1:O1"/>
    <mergeCell ref="A2:E2"/>
    <mergeCell ref="J2:O5"/>
    <mergeCell ref="A3:E3"/>
    <mergeCell ref="A4:E4"/>
    <mergeCell ref="A5:E5"/>
  </mergeCells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USR1CV8</cp:lastModifiedBy>
  <dcterms:modified xsi:type="dcterms:W3CDTF">2025-10-07T18:51:21Z</dcterms:modified>
</cp:coreProperties>
</file>